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0" yWindow="60" windowWidth="20100" windowHeight="9000" activeTab="2"/>
  </bookViews>
  <sheets>
    <sheet name="6-2020" sheetId="1" r:id="rId2"/>
    <sheet name="8-2020" sheetId="2" r:id="rId3"/>
    <sheet name="9-2020" sheetId="4" r:id="rId4"/>
    <sheet name="srovnání predikcí" sheetId="3" r:id="rId5"/>
  </sheets>
  <definedNames/>
  <calcPr fullCalcOnLoad="1"/>
</workbook>
</file>

<file path=xl/sharedStrings.xml><?xml version="1.0" encoding="utf-8"?>
<sst xmlns="http://schemas.openxmlformats.org/spreadsheetml/2006/main" count="214" uniqueCount="52">
  <si>
    <t>DPH</t>
  </si>
  <si>
    <t>DPPO celkem</t>
  </si>
  <si>
    <t>DPPO</t>
  </si>
  <si>
    <t>DPPO plac. obcemi a kraji</t>
  </si>
  <si>
    <t>DPFO celkem</t>
  </si>
  <si>
    <t>DPFO-zvl.sazba</t>
  </si>
  <si>
    <t>DPFO-placená plátci celkem</t>
  </si>
  <si>
    <t>Daň z nemovitých věcí</t>
  </si>
  <si>
    <t>Místní, správní poplatky a ost.</t>
  </si>
  <si>
    <t>Poplatky za znečišť. život. prostř.</t>
  </si>
  <si>
    <t>Propočtová predikce daňových příjmů</t>
  </si>
  <si>
    <t>Daň z hazardních her</t>
  </si>
  <si>
    <t>Celkem</t>
  </si>
  <si>
    <t>rozdíl</t>
  </si>
  <si>
    <t>změna</t>
  </si>
  <si>
    <t>2019</t>
  </si>
  <si>
    <t>2020</t>
  </si>
  <si>
    <t>K 4. 6. 2020</t>
  </si>
  <si>
    <t>KRAJE (mld. Kč)</t>
  </si>
  <si>
    <t>OBCE (mld. Kč)</t>
  </si>
  <si>
    <t>K 10. 8. 2020</t>
  </si>
  <si>
    <t>2021</t>
  </si>
  <si>
    <t>2020-19</t>
  </si>
  <si>
    <t>2020/19</t>
  </si>
  <si>
    <t>2021-20</t>
  </si>
  <si>
    <t>2021/20</t>
  </si>
  <si>
    <t>2022</t>
  </si>
  <si>
    <t>2022-21</t>
  </si>
  <si>
    <t>2022/21</t>
  </si>
  <si>
    <t>DPFO- placená poplatníky (z přiznání)</t>
  </si>
  <si>
    <t>-</t>
  </si>
  <si>
    <t>6/2020</t>
  </si>
  <si>
    <t>8/2020</t>
  </si>
  <si>
    <t>sl.1</t>
  </si>
  <si>
    <t>sl.2</t>
  </si>
  <si>
    <t>sl.2 - sl.1</t>
  </si>
  <si>
    <t>sl. 2 / sl.1</t>
  </si>
  <si>
    <t>sl.5</t>
  </si>
  <si>
    <t>sl.5 - sl.2</t>
  </si>
  <si>
    <t>sl.5 / sl.2</t>
  </si>
  <si>
    <t>sl.8</t>
  </si>
  <si>
    <t>sl.8 - sl.5</t>
  </si>
  <si>
    <t>sl.8 / sl.5</t>
  </si>
  <si>
    <t>K 10. 9. 2020</t>
  </si>
  <si>
    <t>DPH*</t>
  </si>
  <si>
    <t>DPPO*</t>
  </si>
  <si>
    <t>DPFO celkem*</t>
  </si>
  <si>
    <t>Celkem RUD*</t>
  </si>
  <si>
    <t>9/2020</t>
  </si>
  <si>
    <t>Srovnání predikcí ze 4. 6. 2020, 10. 8. 2020 a 10. 9. 2020</t>
  </si>
  <si>
    <t>rozdíl (9 vs 6)</t>
  </si>
  <si>
    <t>změna (9/6)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</si>
</sst>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_ ;[Red]\-#,##0.0\ "/>
    <numFmt numFmtId="165" formatCode="0.0"/>
    <numFmt numFmtId="166" formatCode="0.0%"/>
    <numFmt numFmtId="167" formatCode="#,##\+\ 0.0_ ;[Red]\-#,##0.0\ "/>
    <numFmt numFmtId="168" formatCode="#,##\+\ 0.0;[Red]\-#,##0.0"/>
    <numFmt numFmtId="169" formatCode="#,#\+\ #0.0_ ;[Red]\-#,##0.0\ "/>
    <numFmt numFmtId="170" formatCode="#,#\+\ #0.0;[Red]\-#,##0.0"/>
    <numFmt numFmtId="177" formatCode="0.00%"/>
    <numFmt numFmtId="178" formatCode="General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0010261536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/>
      <bottom style="double">
        <color theme="3" tint="0.399949997663498"/>
      </bottom>
    </border>
    <border>
      <left/>
      <right/>
      <top/>
      <bottom style="double">
        <color theme="7"/>
      </bottom>
    </border>
    <border>
      <left style="thin">
        <color auto="1"/>
      </left>
      <right/>
      <top/>
      <bottom style="thin">
        <color theme="7" tint="0.399949997663498"/>
      </bottom>
    </border>
    <border>
      <left/>
      <right style="thin">
        <color theme="7" tint="0.399949997663498"/>
      </right>
      <top/>
      <bottom/>
    </border>
    <border>
      <left/>
      <right/>
      <top/>
      <bottom style="double">
        <color theme="4"/>
      </bottom>
    </border>
    <border>
      <left/>
      <right style="thin">
        <color auto="1"/>
      </right>
      <top/>
      <bottom style="double">
        <color theme="3" tint="0.399949997663498"/>
      </bottom>
    </border>
    <border>
      <left/>
      <right style="thin">
        <color theme="3" tint="0.399910002946854"/>
      </right>
      <top/>
      <bottom style="double">
        <color theme="3" tint="0.399949997663498"/>
      </bottom>
    </border>
    <border>
      <left/>
      <right/>
      <top/>
      <bottom style="thin">
        <color theme="7" tint="0.399949997663498"/>
      </bottom>
    </border>
    <border>
      <left/>
      <right style="thin">
        <color auto="1"/>
      </right>
      <top/>
      <bottom style="thin">
        <color theme="7" tint="0.399949997663498"/>
      </bottom>
    </border>
    <border>
      <left/>
      <right style="thin">
        <color auto="1"/>
      </right>
      <top/>
      <bottom style="double">
        <color theme="7"/>
      </bottom>
    </border>
    <border>
      <left/>
      <right style="thin">
        <color theme="7"/>
      </right>
      <top/>
      <bottom style="double">
        <color theme="7"/>
      </bottom>
    </border>
    <border>
      <left/>
      <right/>
      <top/>
      <bottom style="thin">
        <color theme="4" tint="0.399949997663498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" fillId="0" borderId="0">
      <alignment/>
      <protection/>
    </xf>
  </cellStyleXfs>
  <cellXfs count="115">
    <xf numFmtId="0" fontId="0" fillId="0" borderId="0" xfId="0"/>
    <xf numFmtId="0" fontId="0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4" fontId="5" fillId="0" borderId="0" xfId="21" applyNumberFormat="1" applyFont="1" applyFill="1" applyBorder="1" applyAlignment="1" applyProtection="1">
      <alignment horizontal="right" vertical="center"/>
      <protection/>
    </xf>
    <xf numFmtId="0" fontId="0" fillId="0" borderId="0" xfId="0" applyFont="1" applyFill="1" applyBorder="1"/>
    <xf numFmtId="164" fontId="5" fillId="0" borderId="0" xfId="21" applyNumberFormat="1" applyFont="1" applyFill="1" applyBorder="1" applyAlignment="1" applyProtection="1">
      <alignment horizontal="left"/>
      <protection/>
    </xf>
    <xf numFmtId="0" fontId="3" fillId="0" borderId="0" xfId="0" applyFont="1" applyFill="1" applyBorder="1"/>
    <xf numFmtId="164" fontId="6" fillId="0" borderId="0" xfId="21" applyNumberFormat="1" applyFont="1" applyFill="1" applyBorder="1">
      <alignment/>
      <protection/>
    </xf>
    <xf numFmtId="164" fontId="6" fillId="0" borderId="0" xfId="21" applyNumberFormat="1" applyFont="1" applyFill="1" applyBorder="1" applyAlignment="1" applyProtection="1">
      <alignment horizontal="right" vertical="center"/>
      <protection/>
    </xf>
    <xf numFmtId="0" fontId="7" fillId="0" borderId="0" xfId="0" applyFont="1" applyFill="1" applyBorder="1"/>
    <xf numFmtId="164" fontId="6" fillId="0" borderId="0" xfId="21" applyNumberFormat="1" applyFont="1" applyFill="1" applyBorder="1" applyAlignment="1" applyProtection="1">
      <alignment horizontal="left"/>
      <protection/>
    </xf>
    <xf numFmtId="164" fontId="5" fillId="0" borderId="0" xfId="21" applyNumberFormat="1" applyFont="1" applyFill="1" applyBorder="1" applyAlignment="1" applyProtection="1">
      <alignment horizontal="left" wrapText="1"/>
      <protection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  <protection/>
    </xf>
    <xf numFmtId="164" fontId="5" fillId="0" borderId="0" xfId="0" applyNumberFormat="1" applyFont="1" applyFill="1" applyBorder="1" applyAlignment="1" applyProtection="1">
      <alignment horizontal="right" vertical="center"/>
      <protection/>
    </xf>
    <xf numFmtId="10" fontId="2" fillId="0" borderId="0" xfId="20" applyNumberFormat="1" applyFont="1" applyFill="1" applyBorder="1"/>
    <xf numFmtId="10" fontId="8" fillId="0" borderId="0" xfId="0" applyNumberFormat="1" applyFont="1" applyFill="1" applyBorder="1" applyAlignment="1" applyProtection="1">
      <alignment horizontal="right" vertical="center"/>
      <protection/>
    </xf>
    <xf numFmtId="10" fontId="9" fillId="0" borderId="0" xfId="20" applyNumberFormat="1" applyFont="1" applyFill="1" applyBorder="1"/>
    <xf numFmtId="10" fontId="7" fillId="0" borderId="0" xfId="20" applyNumberFormat="1" applyFont="1" applyFill="1" applyBorder="1"/>
    <xf numFmtId="10" fontId="8" fillId="0" borderId="0" xfId="20" applyNumberFormat="1" applyFont="1" applyFill="1" applyBorder="1"/>
    <xf numFmtId="10" fontId="3" fillId="0" borderId="0" xfId="20" applyNumberFormat="1" applyFont="1" applyFill="1" applyBorder="1"/>
    <xf numFmtId="165" fontId="7" fillId="0" borderId="0" xfId="0" applyNumberFormat="1" applyFont="1" applyFill="1" applyBorder="1"/>
    <xf numFmtId="164" fontId="3" fillId="0" borderId="0" xfId="0" applyNumberFormat="1" applyFont="1" applyFill="1" applyBorder="1"/>
    <xf numFmtId="164" fontId="7" fillId="0" borderId="0" xfId="0" applyNumberFormat="1" applyFont="1" applyFill="1" applyBorder="1"/>
    <xf numFmtId="164" fontId="0" fillId="0" borderId="0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10" fontId="8" fillId="0" borderId="1" xfId="20" applyNumberFormat="1" applyFont="1" applyFill="1" applyBorder="1"/>
    <xf numFmtId="10" fontId="9" fillId="0" borderId="1" xfId="20" applyNumberFormat="1" applyFont="1" applyFill="1" applyBorder="1"/>
    <xf numFmtId="10" fontId="7" fillId="0" borderId="1" xfId="20" applyNumberFormat="1" applyFont="1" applyFill="1" applyBorder="1"/>
    <xf numFmtId="10" fontId="3" fillId="0" borderId="1" xfId="20" applyNumberFormat="1" applyFont="1" applyFill="1" applyBorder="1"/>
    <xf numFmtId="10" fontId="8" fillId="0" borderId="1" xfId="0" applyNumberFormat="1" applyFont="1" applyFill="1" applyBorder="1" applyAlignment="1" applyProtection="1">
      <alignment horizontal="right" vertical="center"/>
      <protection/>
    </xf>
    <xf numFmtId="165" fontId="0" fillId="0" borderId="0" xfId="0" applyNumberFormat="1" applyFont="1" applyFill="1" applyBorder="1"/>
    <xf numFmtId="164" fontId="5" fillId="0" borderId="0" xfId="0" applyNumberFormat="1" applyFont="1" applyFill="1" applyBorder="1" applyAlignment="1" applyProtection="1">
      <alignment horizontal="right" vertical="center"/>
      <protection/>
    </xf>
    <xf numFmtId="166" fontId="0" fillId="0" borderId="1" xfId="20" applyNumberFormat="1" applyFont="1" applyFill="1" applyBorder="1"/>
    <xf numFmtId="166" fontId="0" fillId="0" borderId="1" xfId="2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left"/>
      <protection/>
    </xf>
    <xf numFmtId="10" fontId="5" fillId="0" borderId="1" xfId="0" applyNumberFormat="1" applyFont="1" applyFill="1" applyBorder="1" applyAlignment="1" applyProtection="1">
      <alignment horizontal="right" vertical="center"/>
      <protection/>
    </xf>
    <xf numFmtId="166" fontId="3" fillId="0" borderId="1" xfId="20" applyNumberFormat="1" applyFont="1" applyFill="1" applyBorder="1"/>
    <xf numFmtId="166" fontId="3" fillId="0" borderId="0" xfId="20" applyNumberFormat="1" applyFont="1" applyFill="1" applyBorder="1"/>
    <xf numFmtId="166" fontId="0" fillId="0" borderId="0" xfId="20" applyNumberFormat="1" applyFont="1" applyFill="1" applyBorder="1"/>
    <xf numFmtId="166" fontId="0" fillId="0" borderId="0" xfId="2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 applyProtection="1">
      <alignment horizontal="right" vertical="center"/>
      <protection/>
    </xf>
    <xf numFmtId="164" fontId="5" fillId="3" borderId="0" xfId="0" applyNumberFormat="1" applyFont="1" applyFill="1" applyBorder="1" applyAlignment="1" applyProtection="1">
      <alignment horizontal="right" vertical="center"/>
      <protection/>
    </xf>
    <xf numFmtId="164" fontId="5" fillId="4" borderId="0" xfId="0" applyNumberFormat="1" applyFont="1" applyFill="1" applyBorder="1" applyAlignment="1" applyProtection="1">
      <alignment horizontal="right" vertical="center"/>
      <protection/>
    </xf>
    <xf numFmtId="10" fontId="2" fillId="0" borderId="1" xfId="20" applyNumberFormat="1" applyFont="1" applyFill="1" applyBorder="1"/>
    <xf numFmtId="0" fontId="5" fillId="4" borderId="0" xfId="0" applyFont="1" applyFill="1" applyBorder="1" applyAlignment="1" applyProtection="1">
      <alignment horizontal="right" vertical="center"/>
      <protection/>
    </xf>
    <xf numFmtId="10" fontId="10" fillId="0" borderId="1" xfId="2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166" fontId="5" fillId="0" borderId="1" xfId="20" applyNumberFormat="1" applyFont="1" applyFill="1" applyBorder="1" applyAlignment="1" applyProtection="1">
      <alignment horizontal="right" vertical="center"/>
      <protection/>
    </xf>
    <xf numFmtId="166" fontId="5" fillId="0" borderId="0" xfId="20" applyNumberFormat="1" applyFont="1" applyFill="1" applyBorder="1" applyAlignment="1" applyProtection="1">
      <alignment horizontal="right" vertical="center"/>
      <protection/>
    </xf>
    <xf numFmtId="0" fontId="3" fillId="0" borderId="0" xfId="0" applyFont="1" applyFill="1" applyBorder="1" applyAlignment="1" quotePrefix="1">
      <alignment horizontal="center" vertical="center"/>
    </xf>
    <xf numFmtId="10" fontId="6" fillId="0" borderId="0" xfId="20" applyNumberFormat="1" applyFont="1" applyFill="1" applyBorder="1"/>
    <xf numFmtId="10" fontId="6" fillId="0" borderId="0" xfId="20" applyNumberFormat="1" applyFont="1" applyFill="1" applyBorder="1" applyAlignment="1">
      <alignment horizontal="right"/>
    </xf>
    <xf numFmtId="10" fontId="5" fillId="0" borderId="0" xfId="20" applyNumberFormat="1" applyFont="1" applyFill="1" applyBorder="1"/>
    <xf numFmtId="166" fontId="5" fillId="0" borderId="0" xfId="20" applyNumberFormat="1" applyFont="1" applyFill="1" applyBorder="1"/>
    <xf numFmtId="166" fontId="6" fillId="0" borderId="0" xfId="20" applyNumberFormat="1" applyFont="1" applyFill="1" applyBorder="1"/>
    <xf numFmtId="166" fontId="6" fillId="0" borderId="0" xfId="20" applyNumberFormat="1" applyFont="1" applyFill="1" applyBorder="1" applyAlignment="1">
      <alignment horizontal="right"/>
    </xf>
    <xf numFmtId="10" fontId="10" fillId="0" borderId="0" xfId="20" applyNumberFormat="1" applyFont="1" applyFill="1" applyBorder="1"/>
    <xf numFmtId="10" fontId="10" fillId="0" borderId="0" xfId="20" applyNumberFormat="1" applyFont="1" applyFill="1" applyBorder="1" applyAlignment="1">
      <alignment horizontal="right"/>
    </xf>
    <xf numFmtId="167" fontId="5" fillId="4" borderId="0" xfId="0" applyNumberFormat="1" applyFont="1" applyFill="1" applyBorder="1" applyAlignment="1" applyProtection="1">
      <alignment horizontal="right" vertical="center"/>
      <protection/>
    </xf>
    <xf numFmtId="168" fontId="5" fillId="0" borderId="0" xfId="0" applyNumberFormat="1" applyFont="1" applyFill="1" applyBorder="1" applyAlignment="1" applyProtection="1">
      <alignment horizontal="right" vertical="center"/>
      <protection/>
    </xf>
    <xf numFmtId="166" fontId="0" fillId="0" borderId="0" xfId="0" applyNumberFormat="1" applyFont="1"/>
    <xf numFmtId="164" fontId="5" fillId="0" borderId="2" xfId="21" applyNumberFormat="1" applyFont="1" applyFill="1" applyBorder="1" applyAlignment="1" applyProtection="1">
      <alignment horizontal="left"/>
      <protection/>
    </xf>
    <xf numFmtId="0" fontId="4" fillId="0" borderId="2" xfId="21" applyFill="1" applyBorder="1" applyAlignment="1">
      <alignment horizontal="center"/>
      <protection/>
    </xf>
    <xf numFmtId="0" fontId="0" fillId="0" borderId="2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0" fontId="0" fillId="0" borderId="3" xfId="20" applyNumberFormat="1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9" fontId="0" fillId="0" borderId="3" xfId="20" applyFont="1" applyFill="1" applyBorder="1" applyAlignment="1">
      <alignment horizontal="center" vertical="center"/>
    </xf>
    <xf numFmtId="166" fontId="0" fillId="0" borderId="2" xfId="2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 applyProtection="1">
      <alignment horizontal="right" vertical="center"/>
      <protection/>
    </xf>
    <xf numFmtId="170" fontId="5" fillId="0" borderId="0" xfId="0" applyNumberFormat="1" applyFont="1" applyFill="1" applyBorder="1" applyAlignment="1" applyProtection="1">
      <alignment horizontal="right" vertical="center"/>
      <protection/>
    </xf>
    <xf numFmtId="0" fontId="5" fillId="0" borderId="4" xfId="0" applyNumberFormat="1" applyFont="1" applyFill="1" applyBorder="1" applyAlignment="1" applyProtection="1">
      <alignment horizontal="left"/>
      <protection/>
    </xf>
    <xf numFmtId="0" fontId="5" fillId="0" borderId="5" xfId="0" applyNumberFormat="1" applyFont="1" applyFill="1" applyBorder="1" applyAlignment="1" applyProtection="1">
      <alignment horizontal="left"/>
      <protection/>
    </xf>
    <xf numFmtId="166" fontId="8" fillId="0" borderId="1" xfId="20" applyNumberFormat="1" applyFont="1" applyFill="1" applyBorder="1"/>
    <xf numFmtId="166" fontId="9" fillId="0" borderId="1" xfId="20" applyNumberFormat="1" applyFont="1" applyFill="1" applyBorder="1"/>
    <xf numFmtId="166" fontId="7" fillId="0" borderId="1" xfId="20" applyNumberFormat="1" applyFont="1" applyFill="1" applyBorder="1"/>
    <xf numFmtId="166" fontId="10" fillId="0" borderId="1" xfId="20" applyNumberFormat="1" applyFont="1" applyFill="1" applyBorder="1" applyAlignment="1">
      <alignment horizontal="right"/>
    </xf>
    <xf numFmtId="166" fontId="2" fillId="0" borderId="1" xfId="20" applyNumberFormat="1" applyFont="1" applyFill="1" applyBorder="1"/>
    <xf numFmtId="166" fontId="3" fillId="0" borderId="1" xfId="20" applyNumberFormat="1" applyFont="1" applyFill="1" applyBorder="1" applyAlignment="1">
      <alignment horizontal="right"/>
    </xf>
    <xf numFmtId="164" fontId="5" fillId="4" borderId="5" xfId="0" applyNumberFormat="1" applyFont="1" applyFill="1" applyBorder="1" applyAlignment="1" applyProtection="1">
      <alignment horizontal="right" vertical="center"/>
      <protection/>
    </xf>
    <xf numFmtId="164" fontId="5" fillId="4" borderId="6" xfId="0" applyNumberFormat="1" applyFont="1" applyFill="1" applyBorder="1" applyAlignment="1" applyProtection="1">
      <alignment horizontal="right" vertical="center"/>
      <protection/>
    </xf>
    <xf numFmtId="164" fontId="5" fillId="4" borderId="6" xfId="0" applyNumberFormat="1" applyFont="1" applyFill="1" applyBorder="1" applyAlignment="1" applyProtection="1">
      <alignment horizontal="right" vertical="center"/>
      <protection/>
    </xf>
    <xf numFmtId="166" fontId="3" fillId="0" borderId="7" xfId="2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 applyProtection="1">
      <alignment horizontal="right" vertical="center"/>
      <protection/>
    </xf>
    <xf numFmtId="166" fontId="5" fillId="4" borderId="1" xfId="0" applyNumberFormat="1" applyFont="1" applyFill="1" applyBorder="1" applyAlignment="1" applyProtection="1">
      <alignment horizontal="right" vertical="center"/>
      <protection/>
    </xf>
    <xf numFmtId="169" fontId="5" fillId="4" borderId="8" xfId="0" applyNumberFormat="1" applyFont="1" applyFill="1" applyBorder="1" applyAlignment="1">
      <alignment horizontal="right" vertical="center"/>
    </xf>
    <xf numFmtId="166" fontId="3" fillId="4" borderId="9" xfId="20" applyNumberFormat="1" applyFont="1" applyFill="1" applyBorder="1" applyAlignment="1" applyProtection="1">
      <alignment horizontal="right" vertical="center"/>
      <protection/>
    </xf>
    <xf numFmtId="169" fontId="5" fillId="4" borderId="0" xfId="0" applyNumberFormat="1" applyFont="1" applyFill="1" applyBorder="1" applyAlignment="1">
      <alignment horizontal="right" vertical="center"/>
    </xf>
    <xf numFmtId="166" fontId="0" fillId="4" borderId="0" xfId="0" applyNumberFormat="1" applyFont="1" applyFill="1"/>
    <xf numFmtId="166" fontId="3" fillId="4" borderId="10" xfId="20" applyNumberFormat="1" applyFont="1" applyFill="1" applyBorder="1" applyAlignment="1" applyProtection="1">
      <alignment horizontal="right" vertical="center"/>
      <protection/>
    </xf>
    <xf numFmtId="168" fontId="5" fillId="4" borderId="11" xfId="0" applyNumberFormat="1" applyFont="1" applyFill="1" applyBorder="1" applyAlignment="1" applyProtection="1">
      <alignment horizontal="right" vertical="center"/>
      <protection/>
    </xf>
    <xf numFmtId="166" fontId="5" fillId="4" borderId="12" xfId="0" applyNumberFormat="1" applyFont="1" applyFill="1" applyBorder="1" applyAlignment="1" applyProtection="1">
      <alignment horizontal="right" vertical="center"/>
      <protection/>
    </xf>
    <xf numFmtId="166" fontId="5" fillId="4" borderId="11" xfId="0" applyNumberFormat="1" applyFont="1" applyFill="1" applyBorder="1" applyAlignment="1" applyProtection="1">
      <alignment horizontal="right" vertical="center"/>
      <protection/>
    </xf>
    <xf numFmtId="168" fontId="5" fillId="4" borderId="5" xfId="0" applyNumberFormat="1" applyFont="1" applyFill="1" applyBorder="1" applyAlignment="1">
      <alignment horizontal="right" vertical="center"/>
    </xf>
    <xf numFmtId="166" fontId="3" fillId="4" borderId="13" xfId="20" applyNumberFormat="1" applyFont="1" applyFill="1" applyBorder="1" applyAlignment="1" applyProtection="1">
      <alignment horizontal="right" vertical="center"/>
      <protection/>
    </xf>
    <xf numFmtId="166" fontId="3" fillId="4" borderId="14" xfId="20" applyNumberFormat="1" applyFont="1" applyFill="1" applyBorder="1" applyAlignment="1" applyProtection="1">
      <alignment horizontal="right" vertical="center"/>
      <protection/>
    </xf>
    <xf numFmtId="164" fontId="5" fillId="2" borderId="4" xfId="0" applyNumberFormat="1" applyFont="1" applyFill="1" applyBorder="1" applyAlignment="1" applyProtection="1">
      <alignment horizontal="right" vertical="center"/>
      <protection/>
    </xf>
    <xf numFmtId="164" fontId="5" fillId="5" borderId="4" xfId="0" applyNumberFormat="1" applyFont="1" applyFill="1" applyBorder="1" applyAlignment="1" applyProtection="1">
      <alignment horizontal="right" vertical="center"/>
      <protection/>
    </xf>
    <xf numFmtId="164" fontId="5" fillId="5" borderId="0" xfId="0" applyNumberFormat="1" applyFont="1" applyFill="1" applyBorder="1" applyAlignment="1" applyProtection="1">
      <alignment horizontal="right" vertical="center"/>
      <protection/>
    </xf>
    <xf numFmtId="164" fontId="5" fillId="5" borderId="5" xfId="0" applyNumberFormat="1" applyFont="1" applyFill="1" applyBorder="1" applyAlignment="1" applyProtection="1">
      <alignment horizontal="right" vertical="center"/>
      <protection/>
    </xf>
    <xf numFmtId="166" fontId="8" fillId="5" borderId="1" xfId="0" applyNumberFormat="1" applyFont="1" applyFill="1" applyBorder="1" applyAlignment="1" applyProtection="1">
      <alignment horizontal="right" vertical="center"/>
      <protection/>
    </xf>
    <xf numFmtId="166" fontId="8" fillId="5" borderId="9" xfId="20" applyNumberFormat="1" applyFont="1" applyFill="1" applyBorder="1" applyAlignment="1" applyProtection="1">
      <alignment horizontal="right" vertical="center"/>
      <protection/>
    </xf>
    <xf numFmtId="166" fontId="8" fillId="5" borderId="13" xfId="20" applyNumberFormat="1" applyFont="1" applyFill="1" applyBorder="1" applyAlignment="1" applyProtection="1">
      <alignment horizontal="right" vertical="center"/>
      <protection/>
    </xf>
    <xf numFmtId="169" fontId="5" fillId="4" borderId="15" xfId="0" applyNumberFormat="1" applyFont="1" applyFill="1" applyBorder="1" applyAlignment="1" applyProtection="1">
      <alignment horizontal="right" vertical="center"/>
      <protection/>
    </xf>
    <xf numFmtId="164" fontId="5" fillId="2" borderId="5" xfId="0" applyNumberFormat="1" applyFont="1" applyFill="1" applyBorder="1" applyAlignment="1" applyProtection="1">
      <alignment horizontal="right" vertical="center"/>
      <protection/>
    </xf>
    <xf numFmtId="166" fontId="5" fillId="4" borderId="0" xfId="0" applyNumberFormat="1" applyFont="1" applyFill="1" applyBorder="1" applyAlignment="1" applyProtection="1">
      <alignment horizontal="right" vertical="center"/>
      <protection/>
    </xf>
    <xf numFmtId="166" fontId="5" fillId="0" borderId="0" xfId="20" applyNumberFormat="1" applyFont="1" applyFill="1" applyBorder="1" applyAlignment="1">
      <alignment horizontal="right"/>
    </xf>
    <xf numFmtId="166" fontId="5" fillId="4" borderId="0" xfId="20" applyNumberFormat="1" applyFont="1" applyFill="1" applyBorder="1" applyAlignment="1" applyProtection="1">
      <alignment horizontal="right" vertical="center"/>
      <protection/>
    </xf>
    <xf numFmtId="0" fontId="3" fillId="0" borderId="0" xfId="0" applyFont="1" applyBorder="1" applyAlignment="1">
      <alignment horizontal="center" vertic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  <cellStyle name="Normální 2" xfId="21"/>
  </cellStyles>
  <dxfs count="138"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i val="0"/>
        <u val="none"/>
        <strike val="0"/>
        <sz val="11"/>
        <name val="Calibri"/>
        <color auto="1"/>
      </font>
      <numFmt numFmtId="177" formatCode="0.0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7" formatCode="#,##\+\ 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 val="0"/>
        <i/>
        <u val="none"/>
        <strike val="0"/>
        <sz val="11"/>
        <name val="Calibri"/>
        <color theme="1"/>
      </font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 val="0"/>
        <i/>
        <u val="none"/>
        <strike val="0"/>
        <sz val="11"/>
        <name val="Calibri"/>
        <color theme="1"/>
      </font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i val="0"/>
        <u val="none"/>
        <strike val="0"/>
        <sz val="11"/>
        <name val="Calibri"/>
        <color auto="1"/>
      </font>
      <numFmt numFmtId="166" formatCode="0.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7" formatCode="#,##\+\ 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theme="1"/>
      </font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theme="1"/>
      </font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color rgb="FFFF0000"/>
      </font>
    </dxf>
    <dxf>
      <font>
        <color rgb="FFFF0000"/>
      </font>
    </dxf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 style="thin">
          <color theme="7" tint="0.399949997663498"/>
        </bottom>
      </border>
      <protection hidden="1" locked="0"/>
    </dxf>
    <dxf>
      <numFmt numFmtId="166" formatCode="0.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8" formatCode="#,##\+\ 0.0;[Red]\-#,##0.0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 style="thin">
          <color theme="7" tint="0.399949997663498"/>
        </bottom>
      </border>
      <protection hidden="1" locked="0"/>
    </dxf>
    <dxf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 style="thin">
          <color auto="1"/>
        </left>
        <right/>
        <top/>
        <bottom style="thin">
          <color theme="7" tint="0.399949997663498"/>
        </bottom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 style="thin">
          <color auto="1"/>
        </right>
        <top/>
        <bottom style="thin">
          <color theme="7" tint="0.399949997663498"/>
        </bottom>
      </border>
      <protection hidden="1" locked="0"/>
    </dxf>
    <dxf>
      <numFmt numFmtId="166" formatCode="0.0%"/>
      <fill>
        <patternFill patternType="none"/>
      </fill>
      <border>
        <left/>
        <right style="thin">
          <color auto="1"/>
        </right>
        <top/>
        <bottom/>
      </border>
    </dxf>
    <dxf>
      <font>
        <b/>
        <i val="0"/>
        <u val="none"/>
        <strike val="0"/>
        <sz val="11"/>
        <name val="Calibri"/>
        <color auto="1"/>
      </font>
      <numFmt numFmtId="168" formatCode="#,##\+\ 0.0;[Red]\-#,##0.0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 style="thin">
          <color theme="7" tint="0.399949997663498"/>
        </bottom>
      </border>
      <protection hidden="1" locked="0"/>
    </dxf>
    <dxf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 style="thin">
          <color auto="1"/>
        </left>
        <right/>
        <top/>
        <bottom style="thin">
          <color theme="7" tint="0.399949997663498"/>
        </bottom>
      </border>
      <protection hidden="1" locked="0"/>
    </dxf>
    <dxf>
      <numFmt numFmtId="165" formatCode="0.0"/>
      <fill>
        <patternFill patternType="none"/>
      </fill>
      <border>
        <left style="thin">
          <color auto="1"/>
        </left>
      </border>
    </dxf>
    <dxf>
      <font>
        <b/>
        <i val="0"/>
        <u val="none"/>
        <strike val="0"/>
        <sz val="11"/>
        <name val="Calibri"/>
        <color rgb="FFFF0000"/>
      </font>
      <numFmt numFmtId="166" formatCode="0.0%"/>
      <fill>
        <patternFill patternType="solid">
          <bgColor theme="5" tint="0.599990010261536"/>
        </patternFill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numFmt numFmtId="166" formatCode="0.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5" tint="0.599990010261536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5" tint="0.599990010261536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4" tint="0.799979984760284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b val="0"/>
        <i val="0"/>
        <u val="none"/>
        <strike val="0"/>
        <sz val="11"/>
        <name val="Calibri"/>
        <color theme="1"/>
      </font>
      <numFmt numFmtId="166" formatCode="0.0%"/>
      <fill>
        <patternFill patternType="solid">
          <bgColor rgb="FF92D050"/>
        </patternFill>
      </fill>
    </dxf>
    <dxf>
      <numFmt numFmtId="166" formatCode="0.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9" formatCode="#,#\+\ 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</dxf>
    <dxf>
      <font>
        <b/>
      </font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9" formatCode="#,#\+\ 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 style="thin">
          <color theme="4" tint="0.399949997663498"/>
        </bottom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rgb="FFFF0000"/>
      </font>
      <numFmt numFmtId="166" formatCode="0.0%"/>
      <fill>
        <patternFill patternType="solid">
          <bgColor theme="5" tint="0.599990010261536"/>
        </patternFill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numFmt numFmtId="177" formatCode="0.0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5" tint="0.599990010261536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5" tint="0.599990010261536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4" tint="0.799979984760284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6" formatCode="0.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8" formatCode="#,##\+\ 0.0;[Red]\-#,##0.0"/>
      <fill>
        <patternFill patternType="none"/>
      </fill>
      <alignment horizontal="right" vertical="center" textRotation="0" wrapText="0" shrinkToFit="0" readingOrder="0"/>
      <protection hidden="1" locked="0"/>
    </dxf>
    <dxf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ill>
        <patternFill patternType="none"/>
      </fill>
      <border>
        <left style="thin">
          <color auto="1"/>
        </left>
        <right/>
      </border>
    </dxf>
    <dxf>
      <font>
        <b/>
        <i val="0"/>
        <u val="none"/>
        <strike val="0"/>
        <sz val="11"/>
        <name val="Calibri"/>
        <color auto="1"/>
      </font>
      <numFmt numFmtId="166" formatCode="0.0%"/>
      <fill>
        <patternFill patternType="none"/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numFmt numFmtId="166" formatCode="0.0%"/>
      <fill>
        <patternFill patternType="none"/>
      </fill>
      <border>
        <left/>
        <right style="thin">
          <color auto="1"/>
        </right>
        <top/>
        <bottom/>
      </border>
    </dxf>
    <dxf>
      <font>
        <b/>
        <i val="0"/>
        <u val="none"/>
        <strike val="0"/>
        <sz val="11"/>
        <name val="Calibri"/>
        <color auto="1"/>
      </font>
      <numFmt numFmtId="168" formatCode="#,##\+\ 0.0;[Red]\-#,##0.0"/>
      <fill>
        <patternFill patternType="none"/>
      </fill>
      <alignment horizontal="right" vertical="center" textRotation="0" wrapText="0" shrinkToFit="0" readingOrder="0"/>
      <protection hidden="1" locked="0"/>
    </dxf>
    <dxf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rgb="FFFF0000"/>
      </font>
      <numFmt numFmtId="177" formatCode="0.00%"/>
      <fill>
        <patternFill patternType="none"/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numFmt numFmtId="177" formatCode="0.0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FF8F8F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 val="0"/>
        <i/>
        <u val="none"/>
        <strike val="0"/>
        <sz val="11"/>
        <name val="Calibri"/>
        <color theme="1"/>
      </font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4" tint="0.799979984760284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b val="0"/>
        <i val="0"/>
        <u val="none"/>
        <strike val="0"/>
        <sz val="11"/>
        <name val="Calibri"/>
        <color theme="1"/>
      </font>
      <numFmt numFmtId="166" formatCode="0.0%"/>
    </dxf>
    <dxf>
      <numFmt numFmtId="166" formatCode="0.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70" formatCode="#,#\+\ #0.0;[Red]\-#,##0.0"/>
      <fill>
        <patternFill patternType="none"/>
      </fill>
      <alignment horizontal="right" vertical="center" textRotation="0" wrapText="0" shrinkToFit="0" readingOrder="0"/>
      <protection hidden="1" locked="0"/>
    </dxf>
    <dxf>
      <numFmt numFmtId="165" formatCode="0.0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7" formatCode="0.00%"/>
      <fill>
        <patternFill patternType="none"/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9" formatCode="#,#\+\ 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92D050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rgb="FFFF0000"/>
      </font>
      <numFmt numFmtId="177" formatCode="0.00%"/>
      <fill>
        <patternFill patternType="none"/>
      </fill>
      <alignment horizontal="right" vertical="center" textRotation="0" wrapText="0" shrinkToFit="0" readingOrder="0"/>
      <border>
        <left/>
        <right style="thin">
          <color auto="1"/>
        </right>
        <top/>
        <bottom/>
      </border>
      <protection hidden="1" locked="0"/>
    </dxf>
    <dxf>
      <numFmt numFmtId="177" formatCode="0.0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rgb="FFFF8F8F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solid">
          <bgColor theme="4" tint="0.799979984760284"/>
        </patternFill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b/>
        <i val="0"/>
        <u val="none"/>
        <strike val="0"/>
        <sz val="11"/>
        <name val="Calibri"/>
        <color rgb="FFFF0000"/>
      </font>
      <numFmt numFmtId="177" formatCode="0.00%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77" formatCode="0.0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 val="0"/>
        <i/>
        <u val="none"/>
        <strike val="0"/>
        <sz val="11"/>
        <name val="Calibri"/>
        <color theme="1"/>
      </font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  <dxf>
      <font>
        <b/>
        <i val="0"/>
        <u val="none"/>
        <strike val="0"/>
        <sz val="11"/>
        <name val="Calibri"/>
        <color rgb="FFFF0000"/>
      </font>
      <numFmt numFmtId="177" formatCode="0.00%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77" formatCode="0.00%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numFmt numFmtId="164" formatCode="#,##0.0_ ;[Red]\-#,##0.0\ "/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right" vertical="center" textRotation="0" wrapText="0" shrinkToFit="0" readingOrder="0"/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78" formatCode="General"/>
      <fill>
        <patternFill patternType="none"/>
      </fill>
      <alignment horizontal="left" vertical="bottom" textRotation="0" wrapText="0" shrinkToFit="0" readingOrder="0"/>
      <border>
        <left/>
        <right/>
        <top/>
        <bottom/>
      </border>
      <protection hidden="1" locked="0"/>
    </dxf>
    <dxf>
      <font>
        <b/>
        <i val="0"/>
        <u val="none"/>
        <strike val="0"/>
        <sz val="11"/>
        <name val="Calibri"/>
        <color auto="1"/>
      </font>
      <numFmt numFmtId="164" formatCode="#,##0.0_ ;[Red]\-#,##0.0\ "/>
      <fill>
        <patternFill patternType="none"/>
      </fill>
      <alignment horizontal="left" vertical="bottom" textRotation="0" wrapText="0" shrinkToFit="0" readingOrder="0"/>
      <protection hidden="1" locked="0"/>
    </dxf>
    <dxf>
      <fill>
        <patternFill patternType="none"/>
      </fill>
    </dxf>
    <dxf>
      <font>
        <b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center" textRotation="0" wrapText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ables/table1.xml><?xml version="1.0" encoding="utf-8"?>
<table xmlns="http://schemas.openxmlformats.org/spreadsheetml/2006/main" id="1" name="Tabulka1" displayName="Tabulka1" ref="A3:E16" totalsRowCount="1" headerRowDxfId="137" dataDxfId="136">
  <tableColumns count="5">
    <tableColumn id="1" name="OBCE (mld. Kč)" dataDxfId="135" totalsRowLabel="Celkem" totalsRowDxfId="134"/>
    <tableColumn id="3" name="2019" dataDxfId="133" totalsRowFunction="custom" totalsRowDxfId="132">
      <totalsRowFormula>+B4+B5+B8+B12+B13+B14+B15</totalsRowFormula>
    </tableColumn>
    <tableColumn id="5" name="2020" dataDxfId="131" totalsRowFunction="custom" totalsRowDxfId="130">
      <totalsRowFormula>+C4+C5+C8+C12+C13+C14+C15</totalsRowFormula>
    </tableColumn>
    <tableColumn id="7" name="rozdíl" dataDxfId="129" totalsRowFunction="custom" totalsRowDxfId="128">
      <calculatedColumnFormula>+Tabulka1[[#This Row],[2020]]-Tabulka1[[#This Row],[2019]]</calculatedColumnFormula>
      <totalsRowFormula>+D4+D5+D8+D12+D13+D14+D15</totalsRowFormula>
    </tableColumn>
    <tableColumn id="8" name="změna" dataDxfId="127" totalsRowFunction="custom" totalsRowDxfId="126">
      <calculatedColumnFormula>+Tabulka1[[#This Row],[2020]]/Tabulka1[[#This Row],[2019]]-1</calculatedColumnFormula>
      <totalsRowFormula>+Tabulka1[[#Totals],[2020]]/Tabulka1[[#Totals],[2019]]-1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13" displayName="Tabulka13" ref="A19:E29" totalsRowCount="1" headerRowDxfId="125" dataDxfId="124">
  <autoFilter ref="A19:E28"/>
  <tableColumns count="5">
    <tableColumn id="1" name="KRAJE (mld. Kč)" dataDxfId="123" totalsRowLabel="Celkem" totalsRowDxfId="122"/>
    <tableColumn id="4" name="2019" dataDxfId="121" totalsRowFunction="custom" totalsRowDxfId="120">
      <totalsRowFormula>+B20+B21+B24+B28</totalsRowFormula>
    </tableColumn>
    <tableColumn id="6" name="2020" dataDxfId="119" totalsRowFunction="custom" totalsRowDxfId="118">
      <totalsRowFormula>+C20+C21+C24+C28</totalsRowFormula>
    </tableColumn>
    <tableColumn id="7" name="rozdíl" dataDxfId="117" totalsRowFunction="custom" totalsRowDxfId="116">
      <calculatedColumnFormula>+Tabulka13[[#This Row],[2020]]-Tabulka13[[#This Row],[2019]]</calculatedColumnFormula>
      <totalsRowFormula>+D20+D21+D24+D28</totalsRowFormula>
    </tableColumn>
    <tableColumn id="8" name="změna" dataDxfId="115" totalsRowFunction="custom" totalsRowDxfId="114">
      <calculatedColumnFormula>+Tabulka13[[#This Row],[2020]]/Tabulka13[[#This Row],[2019]]-1</calculatedColumnFormula>
      <totalsRowFormula>+Tabulka13[[#Totals],[2020]]/Tabulka13[[#Totals],[2019]]-1</totalsRow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3:K17" totalsRowCount="1" headerRowDxfId="113" dataDxfId="112">
  <tableColumns count="11">
    <tableColumn id="1" name="OBCE (mld. Kč)" dataDxfId="111" totalsRowLabel="Celkem" totalsRowDxfId="110"/>
    <tableColumn id="3" name="2019" totalsRowFunction="custom" totalsRowDxfId="109">
      <totalsRowFormula>+B5+B6+B9+B13+B14+B15+B16</totalsRowFormula>
    </tableColumn>
    <tableColumn id="5" name="2020" totalsRowFunction="custom" totalsRowDxfId="108">
      <totalsRowFormula>+C5+C6+C9+C13+C14+C15+C16</totalsRowFormula>
    </tableColumn>
    <tableColumn id="7" name="2020-19" dataDxfId="107" totalsRowFunction="custom" totalsRowDxfId="106">
      <calculatedColumnFormula>+Tabulka14[[#This Row],[2020]]-Tabulka14[[#This Row],[2019]]</calculatedColumnFormula>
      <totalsRowFormula>+D5+D6+D9+D13+D14+D15+D16</totalsRowFormula>
    </tableColumn>
    <tableColumn id="8" name="2020/19" dataDxfId="105" totalsRowFunction="custom" totalsRowDxfId="104">
      <calculatedColumnFormula>+Tabulka14[[#This Row],[2020]]/Tabulka14[[#This Row],[2019]]-1</calculatedColumnFormula>
      <totalsRowFormula>+Tabulka14[[#Totals],[2020]]/Tabulka14[[#Totals],[2019]]-1</totalsRowFormula>
    </tableColumn>
    <tableColumn id="2" name="2021" totalsRowFunction="custom" totalsRowDxfId="103">
      <totalsRowFormula>+F5+F6+F9+F13+F14+F15+F16</totalsRowFormula>
    </tableColumn>
    <tableColumn id="4" name="2021-20" dataDxfId="102" totalsRowFunction="custom" totalsRowDxfId="101">
      <calculatedColumnFormula>+Tabulka14[[#This Row],[2021]]-Tabulka14[[#This Row],[2020]]</calculatedColumnFormula>
      <totalsRowFormula>+Tabulka14[[#Totals],[2021]]-Tabulka14[[#Totals],[2020]]</totalsRowFormula>
    </tableColumn>
    <tableColumn id="6" name="2021/20" totalsRowFunction="custom" totalsRowDxfId="100">
      <calculatedColumnFormula>+Tabulka14[[#This Row],[2021]]/Tabulka14[[#This Row],[2020]]-1</calculatedColumnFormula>
      <totalsRowFormula>+Tabulka14[[#Totals],[2021]]/Tabulka14[[#Totals],[2020]]-1</totalsRowFormula>
    </tableColumn>
    <tableColumn id="9" name="2022" totalsRowFunction="custom" totalsRowDxfId="99">
      <totalsRowFormula>+I5+I6+I9+I13+I14+I15+I16</totalsRowFormula>
    </tableColumn>
    <tableColumn id="10" name="2022-21" dataDxfId="98" totalsRowFunction="custom" totalsRowDxfId="97">
      <calculatedColumnFormula>+Tabulka14[[#This Row],[2022]]-Tabulka14[[#This Row],[2021]]</calculatedColumnFormula>
      <totalsRowFormula>+J5+J6+J9+J13+J14+J15+J16</totalsRowFormula>
    </tableColumn>
    <tableColumn id="11" name="2022/21" dataDxfId="96" totalsRowFunction="custom" totalsRowDxfId="95">
      <calculatedColumnFormula>+Tabulka14[[#This Row],[2022]]/Tabulka14[[#This Row],[2021]]-1</calculatedColumnFormula>
      <totalsRowFormula>+Tabulka14[[#Totals],[2022]]/Tabulka14[[#Totals],[2021]]-1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ulka135" displayName="Tabulka135" ref="A20:K30" totalsRowCount="1" headerRowDxfId="94" dataDxfId="93">
  <tableColumns count="11">
    <tableColumn id="1" name="KRAJE (mld. Kč)" dataDxfId="92" totalsRowLabel="Celkem" totalsRowDxfId="91"/>
    <tableColumn id="4" name="2019" dataDxfId="90" totalsRowFunction="custom" totalsRowDxfId="89">
      <totalsRowFormula>+B21+B22+B25+B29</totalsRowFormula>
    </tableColumn>
    <tableColumn id="6" name="2020" dataDxfId="88" totalsRowFunction="custom" totalsRowDxfId="87">
      <totalsRowFormula>+C21+C22+C25+C29</totalsRowFormula>
    </tableColumn>
    <tableColumn id="7" name="2020-19" dataDxfId="86" totalsRowFunction="custom" totalsRowDxfId="85">
      <calculatedColumnFormula>+Tabulka135[[#This Row],[2020]]-Tabulka135[[#This Row],[2019]]</calculatedColumnFormula>
      <totalsRowFormula>+D21+D22+D25+D29</totalsRowFormula>
    </tableColumn>
    <tableColumn id="8" name="2020/19" dataDxfId="84" totalsRowFunction="custom" totalsRowDxfId="83">
      <calculatedColumnFormula>+Tabulka135[[#This Row],[2020]]/Tabulka135[[#This Row],[2019]]-1</calculatedColumnFormula>
      <totalsRowFormula>+Tabulka135[[#Totals],[2020]]/Tabulka135[[#Totals],[2019]]-1</totalsRowFormula>
    </tableColumn>
    <tableColumn id="2" name="2021" dataDxfId="82" totalsRowFunction="custom" totalsRowDxfId="81">
      <totalsRowFormula>+F21+F22+F25+F29</totalsRowFormula>
    </tableColumn>
    <tableColumn id="3" name="2021-20" dataDxfId="80" totalsRowFunction="custom" totalsRowDxfId="79">
      <calculatedColumnFormula>+Tabulka135[[#This Row],[2021]]-Tabulka135[[#This Row],[2020]]</calculatedColumnFormula>
      <totalsRowFormula>+Tabulka135[[#Totals],[2021]]-Tabulka135[[#Totals],[2020]]</totalsRowFormula>
    </tableColumn>
    <tableColumn id="5" name="2021/20" dataDxfId="78" totalsRowFunction="custom" totalsRowDxfId="77">
      <calculatedColumnFormula>+Tabulka135[[#This Row],[2021]]/Tabulka135[[#This Row],[2020]]-1</calculatedColumnFormula>
      <totalsRowFormula>+Tabulka135[[#Totals],[2021]]/Tabulka135[[#Totals],[2020]]-1</totalsRowFormula>
    </tableColumn>
    <tableColumn id="9" name="2022" dataDxfId="76" totalsRowFunction="custom" totalsRowDxfId="75">
      <totalsRowFormula>+I21+I22+I25+I29</totalsRowFormula>
    </tableColumn>
    <tableColumn id="10" name="2022-21" dataDxfId="74" totalsRowFunction="custom" totalsRowDxfId="73">
      <calculatedColumnFormula>+Tabulka135[[#This Row],[2022]]-Tabulka135[[#This Row],[2021]]</calculatedColumnFormula>
      <totalsRowFormula>+Tabulka135[[#Totals],[2022]]-Tabulka135[[#Totals],[2021]]</totalsRowFormula>
    </tableColumn>
    <tableColumn id="11" name="2022/21" dataDxfId="72" totalsRowFunction="custom" totalsRowDxfId="71">
      <calculatedColumnFormula>+Tabulka135[[#This Row],[2022]]/Tabulka135[[#This Row],[2021]]-1</calculatedColumnFormula>
      <totalsRowFormula>+Tabulka135[[#Totals],[2022]]/Tabulka135[[#Totals],[2021]]-1</totalsRowFormula>
    </tableColumn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7" name="Tabulka148" displayName="Tabulka148" ref="A3:K17" totalsRowCount="1" headerRowDxfId="70" dataDxfId="69">
  <tableColumns count="11">
    <tableColumn id="1" name="OBCE (mld. Kč)" dataDxfId="68" totalsRowLabel="Celkem" totalsRowDxfId="67"/>
    <tableColumn id="3" name="2019" totalsRowFunction="custom" totalsRowDxfId="66">
      <totalsRowFormula>+B5+B6+B9+B13+B14+B15+B16</totalsRowFormula>
    </tableColumn>
    <tableColumn id="5" name="2020" totalsRowFunction="custom" totalsRowDxfId="65">
      <totalsRowFormula>+C5+C6+C9+C13+C14+C15+C16</totalsRowFormula>
    </tableColumn>
    <tableColumn id="7" name="2020-19" dataDxfId="64" totalsRowFunction="custom" totalsRowDxfId="63">
      <calculatedColumnFormula>+Tabulka148[[#This Row],[2020]]-Tabulka148[[#This Row],[2019]]</calculatedColumnFormula>
      <totalsRowFormula>+D5+D6+D9+D13+D14+D15+D16</totalsRowFormula>
    </tableColumn>
    <tableColumn id="8" name="2020/19" dataDxfId="62" totalsRowFunction="custom" totalsRowDxfId="61">
      <calculatedColumnFormula>+Tabulka148[[#This Row],[2020]]/Tabulka148[[#This Row],[2019]]-1</calculatedColumnFormula>
      <totalsRowFormula>+Tabulka148[[#Totals],[2020]]/Tabulka148[[#Totals],[2019]]-1</totalsRowFormula>
    </tableColumn>
    <tableColumn id="2" name="2021" totalsRowFunction="custom" totalsRowDxfId="60">
      <totalsRowFormula>+F5+F6+F9+F13+F14+F15+F16</totalsRowFormula>
    </tableColumn>
    <tableColumn id="4" name="2021-20" dataDxfId="59" totalsRowFunction="custom" totalsRowDxfId="58">
      <calculatedColumnFormula>+Tabulka148[[#This Row],[2021]]-Tabulka148[[#This Row],[2020]]</calculatedColumnFormula>
      <totalsRowFormula>+Tabulka148[[#Totals],[2021]]-Tabulka148[[#Totals],[2020]]</totalsRowFormula>
    </tableColumn>
    <tableColumn id="6" name="2021/20" totalsRowFunction="custom" totalsRowDxfId="57">
      <calculatedColumnFormula>+Tabulka148[[#This Row],[2021]]/Tabulka148[[#This Row],[2020]]-1</calculatedColumnFormula>
      <totalsRowFormula>+Tabulka148[[#Totals],[2021]]/Tabulka148[[#Totals],[2020]]-1</totalsRowFormula>
    </tableColumn>
    <tableColumn id="9" name="2022" totalsRowFunction="custom" totalsRowDxfId="56">
      <totalsRowFormula>+I5+I6+I9+I13+I14+I15+I16</totalsRowFormula>
    </tableColumn>
    <tableColumn id="10" name="2022-21" dataDxfId="55" totalsRowFunction="custom" totalsRowDxfId="54">
      <calculatedColumnFormula>+Tabulka148[[#This Row],[2022]]-Tabulka148[[#This Row],[2021]]</calculatedColumnFormula>
      <totalsRowFormula>+J5+J6+J9+J13+J14+J15+J16</totalsRowFormula>
    </tableColumn>
    <tableColumn id="11" name="2022/21" dataDxfId="53" totalsRowFunction="custom" totalsRowDxfId="52">
      <calculatedColumnFormula>+Tabulka148[[#This Row],[2022]]/Tabulka148[[#This Row],[2021]]-1</calculatedColumnFormula>
      <totalsRowFormula>+Tabulka148[[#Totals],[2022]]/Tabulka148[[#Totals],[2021]]-1</totalsRow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ulka1359" displayName="Tabulka1359" ref="A20:K30" totalsRowCount="1" headerRowDxfId="51" dataDxfId="50">
  <tableColumns count="11">
    <tableColumn id="1" name="KRAJE (mld. Kč)" dataDxfId="49" totalsRowLabel="Celkem" totalsRowDxfId="48"/>
    <tableColumn id="4" name="2019" dataDxfId="47" totalsRowFunction="custom" totalsRowDxfId="46">
      <totalsRowFormula>+B21+B22+B25+B29</totalsRowFormula>
    </tableColumn>
    <tableColumn id="6" name="2020" totalsRowFunction="custom" totalsRowDxfId="45">
      <totalsRowFormula>+C21+C22+C25+C29</totalsRowFormula>
    </tableColumn>
    <tableColumn id="7" name="2020-19" dataDxfId="44" totalsRowFunction="custom" totalsRowDxfId="43">
      <calculatedColumnFormula>+Tabulka1359[[#This Row],[2020]]-Tabulka1359[[#This Row],[2019]]</calculatedColumnFormula>
      <totalsRowFormula>+D21+D22+D25+D29</totalsRowFormula>
    </tableColumn>
    <tableColumn id="8" name="2020/19" dataDxfId="42" totalsRowFunction="custom" totalsRowDxfId="41">
      <calculatedColumnFormula>+Tabulka1359[[#This Row],[2020]]/Tabulka1359[[#This Row],[2019]]-1</calculatedColumnFormula>
      <totalsRowFormula>+Tabulka1359[[#Totals],[2020]]/Tabulka1359[[#Totals],[2019]]-1</totalsRowFormula>
    </tableColumn>
    <tableColumn id="2" name="2021" dataDxfId="40" totalsRowFunction="custom" totalsRowDxfId="39">
      <totalsRowFormula>+F21+F22+F25+F29</totalsRowFormula>
    </tableColumn>
    <tableColumn id="3" name="2021-20" dataDxfId="38" totalsRowFunction="custom" totalsRowDxfId="37">
      <calculatedColumnFormula>+Tabulka1359[[#This Row],[2021]]-Tabulka1359[[#This Row],[2020]]</calculatedColumnFormula>
      <totalsRowFormula>+Tabulka1359[[#Totals],[2021]]-Tabulka1359[[#Totals],[2020]]</totalsRowFormula>
    </tableColumn>
    <tableColumn id="5" name="2021/20" dataDxfId="36" totalsRowFunction="custom" totalsRowDxfId="35">
      <calculatedColumnFormula>+Tabulka1359[[#This Row],[2021]]/Tabulka1359[[#This Row],[2020]]-1</calculatedColumnFormula>
      <totalsRowFormula>+Tabulka1359[[#Totals],[2021]]/Tabulka1359[[#Totals],[2020]]-1</totalsRowFormula>
    </tableColumn>
    <tableColumn id="9" name="2022" totalsRowFunction="custom" totalsRowDxfId="34">
      <totalsRowFormula>+I21+I22+I25+I29</totalsRowFormula>
    </tableColumn>
    <tableColumn id="10" name="2022-21" dataDxfId="33" totalsRowFunction="custom" totalsRowDxfId="32">
      <calculatedColumnFormula>+Tabulka1359[[#This Row],[2022]]-Tabulka1359[[#This Row],[2021]]</calculatedColumnFormula>
      <totalsRowFormula>+Tabulka1359[[#Totals],[2022]]-Tabulka1359[[#Totals],[2021]]</totalsRowFormula>
    </tableColumn>
    <tableColumn id="11" name="2022/21" dataDxfId="31" totalsRowFunction="custom" totalsRowDxfId="30">
      <calculatedColumnFormula>+Tabulka1359[[#This Row],[2022]]/Tabulka1359[[#This Row],[2021]]-1</calculatedColumnFormula>
      <totalsRowFormula>+Tabulka1359[[#Totals],[2022]]/Tabulka1359[[#Totals],[2021]]-1</totalsRowFormula>
    </tableColumn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5" name="Tabulka16" displayName="Tabulka16" ref="A3:F16" totalsRowCount="1" headerRowDxfId="27" dataDxfId="26">
  <tableColumns count="6">
    <tableColumn id="1" name="OBCE (mld. Kč)" dataDxfId="25" totalsRowLabel="Celkem" totalsRowDxfId="24"/>
    <tableColumn id="3" name="6/2020" dataDxfId="23" totalsRowFunction="custom" totalsRowDxfId="22">
      <calculatedColumnFormula>+Tabulka1[[#This Row],[2020]]</calculatedColumnFormula>
      <totalsRowFormula>+B4+B5+B8+B12+B13+B14+B15</totalsRowFormula>
    </tableColumn>
    <tableColumn id="5" name="8/2020" dataDxfId="21" totalsRowFunction="custom" totalsRowDxfId="20">
      <calculatedColumnFormula>'8-2020'!C5</calculatedColumnFormula>
      <totalsRowFormula>+C4+C5+C8+C12+C13+C14+C15</totalsRowFormula>
    </tableColumn>
    <tableColumn id="2" name="9/2020" dataDxfId="19" totalsRowFunction="custom" totalsRowDxfId="18">
      <calculatedColumnFormula>'9-2020'!C5</calculatedColumnFormula>
      <totalsRowFormula>+D4+D5+D8+D12+D13+D14+D15</totalsRowFormula>
    </tableColumn>
    <tableColumn id="7" name="rozdíl (9 vs 6)" dataDxfId="17" totalsRowFunction="custom" totalsRowDxfId="16">
      <calculatedColumnFormula>+Tabulka16[[#This Row],[9/2020]]-Tabulka16[[#This Row],[6/2020]]</calculatedColumnFormula>
      <totalsRowFormula>+Tabulka16[[#Totals],[9/2020]]-Tabulka16[[#Totals],[6/2020]]</totalsRowFormula>
    </tableColumn>
    <tableColumn id="8" name="změna (9/6)" dataDxfId="15" totalsRowFunction="custom" totalsRowDxfId="14">
      <calculatedColumnFormula>+Tabulka16[[#This Row],[9/2020]]/Tabulka16[[#This Row],[6/2020]]-1</calculatedColumnFormula>
      <totalsRowFormula>+Tabulka16[[#Totals],[9/2020]]/Tabulka16[[#Totals],[6/2020]]-1</totalsRow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ulka137" displayName="Tabulka137" ref="A19:F29" totalsRowCount="1" headerRowDxfId="13" dataDxfId="12">
  <autoFilter ref="A19:F28"/>
  <tableColumns count="6">
    <tableColumn id="1" name="KRAJE (mld. Kč)" dataDxfId="11" totalsRowLabel="Celkem" totalsRowDxfId="10"/>
    <tableColumn id="4" name="6/2020" dataDxfId="9" totalsRowFunction="custom" totalsRowDxfId="8">
      <calculatedColumnFormula>Tabulka13[[#This Row],[2020]]</calculatedColumnFormula>
      <totalsRowFormula>+B20+B21+B24+B28</totalsRowFormula>
    </tableColumn>
    <tableColumn id="6" name="8/2020" dataDxfId="7" totalsRowFunction="custom" totalsRowDxfId="6">
      <calculatedColumnFormula>'8-2020'!C21</calculatedColumnFormula>
      <totalsRowFormula>+C20+C21+C24+C28</totalsRowFormula>
    </tableColumn>
    <tableColumn id="2" name="9/2020" dataDxfId="5" totalsRowFunction="custom" totalsRowDxfId="4">
      <calculatedColumnFormula>'9-2020'!C21</calculatedColumnFormula>
      <totalsRowFormula>+D20+D21+D24+D28</totalsRowFormula>
    </tableColumn>
    <tableColumn id="7" name="rozdíl (9 vs 6)" dataDxfId="3" totalsRowFunction="custom" totalsRowDxfId="2">
      <calculatedColumnFormula>+Tabulka137[[#This Row],[9/2020]]-Tabulka137[[#This Row],[6/2020]]</calculatedColumnFormula>
      <totalsRowFormula>+E20+E21+E24+E28</totalsRowFormula>
    </tableColumn>
    <tableColumn id="8" name="změna (9/6)" dataDxfId="1" totalsRowFunction="custom" totalsRowDxfId="0">
      <calculatedColumnFormula>+Tabulka137[[#This Row],[9/2020]]/Tabulka137[[#This Row],[6/2020]]-1</calculatedColumnFormula>
      <totalsRowFormula>+Tabulka137[[#Totals],[9/2020]]/Tabulka137[[#Totals],[6/2020]]-1</totalsRow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 /><Relationship Id="rId2" Type="http://schemas.openxmlformats.org/officeDocument/2006/relationships/table" Target="../tables/table4.x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 /><Relationship Id="rId2" Type="http://schemas.openxmlformats.org/officeDocument/2006/relationships/table" Target="../tables/table6.x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 /><Relationship Id="rId2" Type="http://schemas.openxmlformats.org/officeDocument/2006/relationships/table" Target="../tables/table8.xml" /><Relationship Id="rId3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showGridLines="0" workbookViewId="0" topLeftCell="A1">
      <selection pane="topLeft" activeCell="D7" sqref="D7"/>
    </sheetView>
  </sheetViews>
  <sheetFormatPr defaultColWidth="8.85546875" defaultRowHeight="15"/>
  <cols>
    <col min="1" max="1" width="33.8571428571429" style="1" customWidth="1"/>
    <col min="2" max="5" width="11.7142857142857" style="1" customWidth="1"/>
    <col min="6" max="16384" width="8.85714285714286" style="1"/>
  </cols>
  <sheetData>
    <row r="1" s="3" customFormat="1" ht="25.9" customHeight="1">
      <c r="A1" s="2" t="s">
        <v>10</v>
      </c>
    </row>
    <row r="2" spans="1:5" s="3" customFormat="1" ht="28.15" customHeight="1">
      <c r="A2" s="2" t="s">
        <v>17</v>
      </c>
      <c r="B2" s="114"/>
      <c r="C2" s="114"/>
      <c r="D2" s="114"/>
      <c r="E2" s="114"/>
    </row>
    <row r="3" spans="1:5" s="14" customFormat="1" ht="15">
      <c r="A3" s="13" t="s">
        <v>19</v>
      </c>
      <c r="B3" s="15" t="s">
        <v>15</v>
      </c>
      <c r="C3" s="15" t="s">
        <v>16</v>
      </c>
      <c r="D3" s="17" t="s">
        <v>13</v>
      </c>
      <c r="E3" s="17" t="s">
        <v>14</v>
      </c>
    </row>
    <row r="4" spans="1:5" s="5" customFormat="1" ht="15">
      <c r="A4" s="6" t="s">
        <v>0</v>
      </c>
      <c r="B4" s="4">
        <v>101.80</v>
      </c>
      <c r="C4" s="7">
        <v>101.40</v>
      </c>
      <c r="D4" s="27">
        <f>+Tabulka1[[#This Row],[2020]]-Tabulka1[[#This Row],[2019]]</f>
        <v>-0.39999999999999147</v>
      </c>
      <c r="E4" s="24">
        <f>+Tabulka1[[#This Row],[2020]]/Tabulka1[[#This Row],[2019]]-1</f>
        <v>-0.0039292730844793233</v>
      </c>
    </row>
    <row r="5" spans="1:5" s="5" customFormat="1" ht="15">
      <c r="A5" s="6" t="s">
        <v>1</v>
      </c>
      <c r="B5" s="4">
        <v>50.797620174500004</v>
      </c>
      <c r="C5" s="16">
        <v>35</v>
      </c>
      <c r="D5" s="27">
        <f>+Tabulka1[[#This Row],[2020]]-Tabulka1[[#This Row],[2019]]</f>
        <v>-15.797620174500004</v>
      </c>
      <c r="E5" s="24">
        <f>+Tabulka1[[#This Row],[2020]]/Tabulka1[[#This Row],[2019]]-1</f>
        <v>-0.31099134408722329</v>
      </c>
    </row>
    <row r="6" spans="1:5" s="5" customFormat="1" ht="15">
      <c r="A6" s="8" t="s">
        <v>2</v>
      </c>
      <c r="B6" s="9">
        <v>43.10</v>
      </c>
      <c r="C6" s="10">
        <v>27.20</v>
      </c>
      <c r="D6" s="28">
        <f>+Tabulka1[[#This Row],[2020]]-Tabulka1[[#This Row],[2019]]</f>
        <v>-15.900000000000002</v>
      </c>
      <c r="E6" s="22">
        <f>+Tabulka1[[#This Row],[2020]]/Tabulka1[[#This Row],[2019]]-1</f>
        <v>-0.36890951276102091</v>
      </c>
    </row>
    <row r="7" spans="1:5" s="5" customFormat="1" ht="15">
      <c r="A7" s="8" t="s">
        <v>3</v>
      </c>
      <c r="B7" s="9">
        <v>7.6976201744999999</v>
      </c>
      <c r="C7" s="10">
        <v>7.80</v>
      </c>
      <c r="D7" s="28">
        <f>+Tabulka1[[#This Row],[2020]]-Tabulka1[[#This Row],[2019]]</f>
        <v>0.10237982549999991</v>
      </c>
      <c r="E7" s="23">
        <f>+Tabulka1[[#This Row],[2020]]/Tabulka1[[#This Row],[2019]]-1</f>
        <v>0.013300191900758485</v>
      </c>
    </row>
    <row r="8" spans="1:5" s="5" customFormat="1" ht="15">
      <c r="A8" s="6" t="s">
        <v>4</v>
      </c>
      <c r="B8" s="4">
        <v>60.400000000000006</v>
      </c>
      <c r="C8" s="7">
        <v>49.50</v>
      </c>
      <c r="D8" s="27">
        <f>+Tabulka1[[#This Row],[2020]]-Tabulka1[[#This Row],[2019]]</f>
        <v>-10.900000000000006</v>
      </c>
      <c r="E8" s="24">
        <f>+Tabulka1[[#This Row],[2020]]/Tabulka1[[#This Row],[2019]]-1</f>
        <v>-0.18046357615894049</v>
      </c>
    </row>
    <row r="9" spans="1:5" s="5" customFormat="1" ht="15">
      <c r="A9" s="8" t="s">
        <v>5</v>
      </c>
      <c r="B9" s="9">
        <v>4.80</v>
      </c>
      <c r="C9" s="10">
        <v>2.90</v>
      </c>
      <c r="D9" s="28">
        <f>+Tabulka1[[#This Row],[2020]]-Tabulka1[[#This Row],[2019]]</f>
        <v>-1.90</v>
      </c>
      <c r="E9" s="22">
        <f>+Tabulka1[[#This Row],[2020]]/Tabulka1[[#This Row],[2019]]-1</f>
        <v>-0.39583333333333337</v>
      </c>
    </row>
    <row r="10" spans="1:5" s="5" customFormat="1" ht="15">
      <c r="A10" s="11" t="s">
        <v>29</v>
      </c>
      <c r="B10" s="9">
        <v>1.40</v>
      </c>
      <c r="C10" s="26">
        <v>0</v>
      </c>
      <c r="D10" s="28">
        <f>+Tabulka1[[#This Row],[2020]]-Tabulka1[[#This Row],[2019]]</f>
        <v>-1.40</v>
      </c>
      <c r="E10" s="22">
        <f>+Tabulka1[[#This Row],[2020]]/Tabulka1[[#This Row],[2019]]-1</f>
        <v>-1</v>
      </c>
    </row>
    <row r="11" spans="1:5" s="5" customFormat="1" ht="15">
      <c r="A11" s="11" t="s">
        <v>6</v>
      </c>
      <c r="B11" s="9">
        <v>54.20</v>
      </c>
      <c r="C11" s="10">
        <v>46.60</v>
      </c>
      <c r="D11" s="28">
        <f>+Tabulka1[[#This Row],[2020]]-Tabulka1[[#This Row],[2019]]</f>
        <v>-7.6000000000000014</v>
      </c>
      <c r="E11" s="22">
        <f>+Tabulka1[[#This Row],[2020]]/Tabulka1[[#This Row],[2019]]-1</f>
        <v>-0.14022140221402213</v>
      </c>
    </row>
    <row r="12" spans="1:5" s="5" customFormat="1" ht="15">
      <c r="A12" s="6" t="s">
        <v>7</v>
      </c>
      <c r="B12" s="4">
        <v>10.934732143989999</v>
      </c>
      <c r="C12" s="7">
        <v>11.10</v>
      </c>
      <c r="D12" s="27">
        <f>+Tabulka1[[#This Row],[2020]]-Tabulka1[[#This Row],[2019]]</f>
        <v>0.16526785601000071</v>
      </c>
      <c r="E12" s="25">
        <f>+Tabulka1[[#This Row],[2020]]/Tabulka1[[#This Row],[2019]]-1</f>
        <v>0.01511402875111445</v>
      </c>
    </row>
    <row r="13" spans="1:5" s="5" customFormat="1" ht="15">
      <c r="A13" s="6" t="s">
        <v>8</v>
      </c>
      <c r="B13" s="4">
        <v>8.8733256099200002</v>
      </c>
      <c r="C13" s="7">
        <v>7.70</v>
      </c>
      <c r="D13" s="27">
        <f>+Tabulka1[[#This Row],[2020]]-Tabulka1[[#This Row],[2019]]</f>
        <v>-1.17332560992</v>
      </c>
      <c r="E13" s="24">
        <f>+Tabulka1[[#This Row],[2020]]/Tabulka1[[#This Row],[2019]]-1</f>
        <v>-0.13223064964597619</v>
      </c>
    </row>
    <row r="14" spans="1:5" s="5" customFormat="1" ht="15">
      <c r="A14" s="12" t="s">
        <v>9</v>
      </c>
      <c r="B14" s="4">
        <v>3.42653138425</v>
      </c>
      <c r="C14" s="7">
        <v>2.80</v>
      </c>
      <c r="D14" s="27">
        <f>+Tabulka1[[#This Row],[2020]]-Tabulka1[[#This Row],[2019]]</f>
        <v>-0.62653138425000021</v>
      </c>
      <c r="E14" s="24">
        <f>+Tabulka1[[#This Row],[2020]]/Tabulka1[[#This Row],[2019]]-1</f>
        <v>-0.18284711680442867</v>
      </c>
    </row>
    <row r="15" spans="1:5" s="5" customFormat="1" ht="15">
      <c r="A15" s="12" t="s">
        <v>11</v>
      </c>
      <c r="B15" s="4">
        <v>4.84</v>
      </c>
      <c r="C15" s="7">
        <v>4.20</v>
      </c>
      <c r="D15" s="27">
        <f>+Tabulka1[[#This Row],[2020]]-Tabulka1[[#This Row],[2019]]</f>
        <v>-0.63999999999999968</v>
      </c>
      <c r="E15" s="24">
        <f>+Tabulka1[[#This Row],[2020]]/Tabulka1[[#This Row],[2019]]-1</f>
        <v>-0.13223140495867758</v>
      </c>
    </row>
    <row r="16" spans="1:5" ht="15">
      <c r="A16" s="18" t="s">
        <v>12</v>
      </c>
      <c r="B16" s="19">
        <f>+B4+B5+B8+B12+B13+B14+B15</f>
        <v>241.07220931266002</v>
      </c>
      <c r="C16" s="19">
        <f>+C4+C5+C8+C12+C13+C14+C15</f>
        <v>211.70</v>
      </c>
      <c r="D16" s="19">
        <f>+D4+D5+D8+D12+D13+D14+D15</f>
        <v>-29.372209312660001</v>
      </c>
      <c r="E16" s="21">
        <f>+Tabulka1[[#Totals],[2020]]/Tabulka1[[#Totals],[2019]]-1</f>
        <v>-0.1218398810730007</v>
      </c>
    </row>
    <row r="17" spans="1:5" ht="15">
      <c r="A17" s="18"/>
      <c r="B17" s="19"/>
      <c r="C17" s="19"/>
      <c r="D17" s="19"/>
      <c r="E17" s="21"/>
    </row>
    <row r="19" spans="1:5" s="14" customFormat="1" ht="15">
      <c r="A19" s="13" t="s">
        <v>18</v>
      </c>
      <c r="B19" s="15" t="s">
        <v>15</v>
      </c>
      <c r="C19" s="15" t="s">
        <v>16</v>
      </c>
      <c r="D19" s="17" t="s">
        <v>13</v>
      </c>
      <c r="E19" s="17" t="s">
        <v>14</v>
      </c>
    </row>
    <row r="20" spans="1:5" s="5" customFormat="1" ht="15">
      <c r="A20" s="6" t="s">
        <v>0</v>
      </c>
      <c r="B20" s="4">
        <v>38.50</v>
      </c>
      <c r="C20" s="7">
        <v>38.40</v>
      </c>
      <c r="D20" s="27">
        <f>+Tabulka13[[#This Row],[2020]]-Tabulka13[[#This Row],[2019]]</f>
        <v>-0.10000000000000142</v>
      </c>
      <c r="E20" s="24">
        <f>+Tabulka13[[#This Row],[2020]]/Tabulka13[[#This Row],[2019]]-1</f>
        <v>-0.0025974025974025983</v>
      </c>
    </row>
    <row r="21" spans="1:5" s="5" customFormat="1" ht="15">
      <c r="A21" s="6" t="s">
        <v>1</v>
      </c>
      <c r="B21" s="4">
        <v>16.579752200000001</v>
      </c>
      <c r="C21" s="7">
        <v>10.60</v>
      </c>
      <c r="D21" s="27">
        <f>+Tabulka13[[#This Row],[2020]]-Tabulka13[[#This Row],[2019]]</f>
        <v>-5.9797522000000018</v>
      </c>
      <c r="E21" s="24">
        <f>+Tabulka13[[#This Row],[2020]]/Tabulka13[[#This Row],[2019]]-1</f>
        <v>-0.36066595735972462</v>
      </c>
    </row>
    <row r="22" spans="1:5" s="5" customFormat="1" ht="15">
      <c r="A22" s="8" t="s">
        <v>2</v>
      </c>
      <c r="B22" s="9">
        <v>16.30</v>
      </c>
      <c r="C22" s="10">
        <v>10.30</v>
      </c>
      <c r="D22" s="28">
        <f>+Tabulka13[[#This Row],[2020]]-Tabulka13[[#This Row],[2019]]</f>
        <v>-6</v>
      </c>
      <c r="E22" s="22">
        <f>+Tabulka13[[#This Row],[2020]]/Tabulka13[[#This Row],[2019]]-1</f>
        <v>-0.36809815950920244</v>
      </c>
    </row>
    <row r="23" spans="1:5" s="5" customFormat="1" ht="15">
      <c r="A23" s="8" t="s">
        <v>3</v>
      </c>
      <c r="B23" s="9">
        <v>0.27975220000000001</v>
      </c>
      <c r="C23" s="10">
        <v>0.30</v>
      </c>
      <c r="D23" s="28">
        <f>+Tabulka13[[#This Row],[2020]]-Tabulka13[[#This Row],[2019]]</f>
        <v>0.020247799999999982</v>
      </c>
      <c r="E23" s="23">
        <f>+Tabulka13[[#This Row],[2020]]/Tabulka13[[#This Row],[2019]]-1</f>
        <v>0.072377625627251474</v>
      </c>
    </row>
    <row r="24" spans="1:5" s="5" customFormat="1" ht="15">
      <c r="A24" s="6" t="s">
        <v>4</v>
      </c>
      <c r="B24" s="4">
        <v>21.60</v>
      </c>
      <c r="C24" s="7">
        <v>17.70</v>
      </c>
      <c r="D24" s="27">
        <f>+Tabulka13[[#This Row],[2020]]-Tabulka13[[#This Row],[2019]]</f>
        <v>-3.9000000000000021</v>
      </c>
      <c r="E24" s="24">
        <f>+Tabulka13[[#This Row],[2020]]/Tabulka13[[#This Row],[2019]]-1</f>
        <v>-0.18055555555555569</v>
      </c>
    </row>
    <row r="25" spans="1:5" s="5" customFormat="1" ht="15">
      <c r="A25" s="8" t="s">
        <v>5</v>
      </c>
      <c r="B25" s="9">
        <v>1.80</v>
      </c>
      <c r="C25" s="10">
        <v>1.1000000000000001</v>
      </c>
      <c r="D25" s="29">
        <f>+Tabulka13[[#This Row],[2020]]-Tabulka13[[#This Row],[2019]]</f>
        <v>-0.70</v>
      </c>
      <c r="E25" s="20">
        <f>+Tabulka13[[#This Row],[2020]]/Tabulka13[[#This Row],[2019]]-1</f>
        <v>-0.38888888888888884</v>
      </c>
    </row>
    <row r="26" spans="1:5" s="5" customFormat="1" ht="15">
      <c r="A26" s="11" t="s">
        <v>29</v>
      </c>
      <c r="B26" s="9">
        <v>0.50</v>
      </c>
      <c r="C26" s="10">
        <v>0</v>
      </c>
      <c r="D26" s="29">
        <f>+Tabulka13[[#This Row],[2020]]-Tabulka13[[#This Row],[2019]]</f>
        <v>-0.50</v>
      </c>
      <c r="E26" s="20">
        <f>+Tabulka13[[#This Row],[2020]]/Tabulka13[[#This Row],[2019]]-1</f>
        <v>-1</v>
      </c>
    </row>
    <row r="27" spans="1:5" s="5" customFormat="1" ht="15">
      <c r="A27" s="11" t="s">
        <v>6</v>
      </c>
      <c r="B27" s="9">
        <v>19.30</v>
      </c>
      <c r="C27" s="10">
        <v>16.60</v>
      </c>
      <c r="D27" s="29">
        <f>+Tabulka13[[#This Row],[2020]]-Tabulka13[[#This Row],[2019]]</f>
        <v>-2.6999999999999993</v>
      </c>
      <c r="E27" s="20">
        <f>+Tabulka13[[#This Row],[2020]]/Tabulka13[[#This Row],[2019]]-1</f>
        <v>-0.13989637305699476</v>
      </c>
    </row>
    <row r="28" spans="1:5" s="5" customFormat="1" ht="15">
      <c r="A28" s="12" t="s">
        <v>9</v>
      </c>
      <c r="B28" s="4">
        <v>0.10</v>
      </c>
      <c r="C28" s="7">
        <v>0.10</v>
      </c>
      <c r="D28" s="27">
        <f>+Tabulka13[[#This Row],[2020]]-Tabulka13[[#This Row],[2019]]</f>
        <v>0</v>
      </c>
      <c r="E28" s="20"/>
    </row>
    <row r="29" spans="1:5" s="5" customFormat="1" ht="15">
      <c r="A29" s="18" t="s">
        <v>12</v>
      </c>
      <c r="B29" s="19">
        <f>+B20+B21+B24+B28</f>
        <v>76.77975219999999</v>
      </c>
      <c r="C29" s="19">
        <f>+C20+C21+C24+C28</f>
        <v>66.80</v>
      </c>
      <c r="D29" s="19">
        <f>+D20+D21+D24+D28</f>
        <v>-9.9797522000000054</v>
      </c>
      <c r="E29" s="21">
        <f>+Tabulka13[[#Totals],[2020]]/Tabulka13[[#Totals],[2019]]-1</f>
        <v>-0.12997895817642391</v>
      </c>
    </row>
    <row r="30" spans="1:5" s="5" customFormat="1" ht="15">
      <c r="A30" s="1"/>
      <c r="B30" s="1"/>
      <c r="C30" s="1"/>
      <c r="D30" s="1"/>
      <c r="E30" s="1"/>
    </row>
    <row r="31" spans="1:5" s="5" customFormat="1" ht="15">
      <c r="A31" s="1"/>
      <c r="B31" s="1"/>
      <c r="C31" s="1"/>
      <c r="D31" s="1"/>
      <c r="E31" s="1"/>
    </row>
  </sheetData>
  <mergeCells count="2">
    <mergeCell ref="D2:E2"/>
    <mergeCell ref="B2:C2"/>
  </mergeCells>
  <pageMargins left="1.2992125984252" right="0.708661417322835" top="0.78740157480315" bottom="0.78740157480315" header="0.31496062992126" footer="0.31496062992126"/>
  <pageSetup orientation="portrait" paperSize="9" r:id="rId3"/>
  <tableParts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workbookViewId="0" topLeftCell="A1">
      <selection pane="topLeft" activeCell="A1" sqref="A1:XFD1048576"/>
    </sheetView>
  </sheetViews>
  <sheetFormatPr defaultColWidth="8.85546875" defaultRowHeight="15"/>
  <cols>
    <col min="1" max="1" width="34.5714285714286" style="1" customWidth="1"/>
    <col min="2" max="11" width="10.7142857142857" style="1" customWidth="1"/>
    <col min="12" max="16384" width="8.85714285714286" style="1"/>
  </cols>
  <sheetData>
    <row r="1" s="3" customFormat="1" ht="25.9" customHeight="1">
      <c r="A1" s="2" t="s">
        <v>10</v>
      </c>
    </row>
    <row r="2" spans="1:5" s="3" customFormat="1" ht="28.15" customHeight="1">
      <c r="A2" s="2" t="s">
        <v>20</v>
      </c>
      <c r="B2" s="114"/>
      <c r="C2" s="114"/>
      <c r="D2" s="114"/>
      <c r="E2" s="114"/>
    </row>
    <row r="3" spans="1:11" s="14" customFormat="1" ht="15">
      <c r="A3" s="13" t="s">
        <v>19</v>
      </c>
      <c r="B3" s="15" t="s">
        <v>15</v>
      </c>
      <c r="C3" s="15" t="s">
        <v>16</v>
      </c>
      <c r="D3" s="17" t="s">
        <v>22</v>
      </c>
      <c r="E3" s="30" t="s">
        <v>23</v>
      </c>
      <c r="F3" s="17" t="s">
        <v>21</v>
      </c>
      <c r="G3" s="17" t="s">
        <v>24</v>
      </c>
      <c r="H3" s="30" t="s">
        <v>25</v>
      </c>
      <c r="I3" s="17" t="s">
        <v>26</v>
      </c>
      <c r="J3" s="17" t="s">
        <v>27</v>
      </c>
      <c r="K3" s="17" t="s">
        <v>28</v>
      </c>
    </row>
    <row r="4" spans="1:11" s="5" customFormat="1" ht="15">
      <c r="A4" s="67"/>
      <c r="B4" s="68" t="s">
        <v>33</v>
      </c>
      <c r="C4" s="69" t="s">
        <v>34</v>
      </c>
      <c r="D4" s="70" t="s">
        <v>35</v>
      </c>
      <c r="E4" s="71" t="s">
        <v>36</v>
      </c>
      <c r="F4" s="69" t="s">
        <v>37</v>
      </c>
      <c r="G4" s="70" t="s">
        <v>38</v>
      </c>
      <c r="H4" s="73" t="s">
        <v>39</v>
      </c>
      <c r="I4" s="69" t="s">
        <v>40</v>
      </c>
      <c r="J4" s="72" t="s">
        <v>41</v>
      </c>
      <c r="K4" s="74" t="s">
        <v>42</v>
      </c>
    </row>
    <row r="5" spans="1:11" s="5" customFormat="1" ht="15">
      <c r="A5" s="6" t="s">
        <v>0</v>
      </c>
      <c r="B5" s="4">
        <v>101.80</v>
      </c>
      <c r="C5" s="7">
        <v>99.20</v>
      </c>
      <c r="D5" s="27">
        <f>+Tabulka14[[#This Row],[2020]]-Tabulka14[[#This Row],[2019]]</f>
        <v>-2.5999999999999943</v>
      </c>
      <c r="E5" s="31">
        <f>+Tabulka14[[#This Row],[2020]]/Tabulka14[[#This Row],[2019]]-1</f>
        <v>-0.025540275049115824</v>
      </c>
      <c r="F5" s="27">
        <v>103.40</v>
      </c>
      <c r="G5" s="27">
        <f>+Tabulka14[[#This Row],[2021]]-Tabulka14[[#This Row],[2020]]</f>
        <v>4.2000000000000028</v>
      </c>
      <c r="H5" s="42">
        <f>+Tabulka14[[#This Row],[2021]]/Tabulka14[[#This Row],[2020]]-1</f>
        <v>0.042338709677419484</v>
      </c>
      <c r="I5" s="27">
        <v>107.60</v>
      </c>
      <c r="J5" s="16">
        <f>+Tabulka14[[#This Row],[2022]]-Tabulka14[[#This Row],[2021]]</f>
        <v>4.1999999999999886</v>
      </c>
      <c r="K5" s="43">
        <f>+Tabulka14[[#This Row],[2022]]/Tabulka14[[#This Row],[2021]]-1</f>
        <v>0.040618955512572441</v>
      </c>
    </row>
    <row r="6" spans="1:11" s="5" customFormat="1" ht="15">
      <c r="A6" s="6" t="s">
        <v>1</v>
      </c>
      <c r="B6" s="4">
        <v>50.797620174500004</v>
      </c>
      <c r="C6" s="16">
        <v>37.10</v>
      </c>
      <c r="D6" s="27">
        <f>+Tabulka14[[#This Row],[2020]]-Tabulka14[[#This Row],[2019]]</f>
        <v>-13.697620174500003</v>
      </c>
      <c r="E6" s="31">
        <f>+Tabulka14[[#This Row],[2020]]/Tabulka14[[#This Row],[2019]]-1</f>
        <v>-0.26965082473245661</v>
      </c>
      <c r="F6" s="27">
        <v>38.90</v>
      </c>
      <c r="G6" s="27">
        <f>+Tabulka14[[#This Row],[2021]]-Tabulka14[[#This Row],[2020]]</f>
        <v>1.7999999999999972</v>
      </c>
      <c r="H6" s="42">
        <f>+Tabulka14[[#This Row],[2021]]/Tabulka14[[#This Row],[2020]]-1</f>
        <v>0.048517520215633381</v>
      </c>
      <c r="I6" s="27">
        <v>41.10</v>
      </c>
      <c r="J6" s="16">
        <f>+Tabulka14[[#This Row],[2022]]-Tabulka14[[#This Row],[2021]]</f>
        <v>2.2000000000000028</v>
      </c>
      <c r="K6" s="43">
        <f>+Tabulka14[[#This Row],[2022]]/Tabulka14[[#This Row],[2021]]-1</f>
        <v>0.056555269922879292</v>
      </c>
    </row>
    <row r="7" spans="1:11" s="5" customFormat="1" ht="15">
      <c r="A7" s="8" t="s">
        <v>2</v>
      </c>
      <c r="B7" s="9">
        <v>43.10</v>
      </c>
      <c r="C7" s="10">
        <v>29.30</v>
      </c>
      <c r="D7" s="28">
        <f>+Tabulka14[[#This Row],[2020]]-Tabulka14[[#This Row],[2019]]</f>
        <v>-13.80</v>
      </c>
      <c r="E7" s="32">
        <f>+Tabulka14[[#This Row],[2020]]/Tabulka14[[#This Row],[2019]]-1</f>
        <v>-0.32018561484918795</v>
      </c>
      <c r="F7" s="29">
        <v>30.90</v>
      </c>
      <c r="G7" s="29">
        <f>+Tabulka14[[#This Row],[2021]]-Tabulka14[[#This Row],[2020]]</f>
        <v>1.5999999999999979</v>
      </c>
      <c r="H7" s="38">
        <f>+Tabulka14[[#This Row],[2021]]/Tabulka14[[#This Row],[2020]]-1</f>
        <v>0.054607508532423132</v>
      </c>
      <c r="I7" s="29">
        <v>32.90</v>
      </c>
      <c r="J7" s="36">
        <f>+Tabulka14[[#This Row],[2022]]-Tabulka14[[#This Row],[2021]]</f>
        <v>2</v>
      </c>
      <c r="K7" s="44">
        <f>+Tabulka14[[#This Row],[2022]]/Tabulka14[[#This Row],[2021]]-1</f>
        <v>0.06472491909385103</v>
      </c>
    </row>
    <row r="8" spans="1:11" s="5" customFormat="1" ht="15">
      <c r="A8" s="8" t="s">
        <v>3</v>
      </c>
      <c r="B8" s="9">
        <v>7.6976201744999999</v>
      </c>
      <c r="C8" s="10">
        <v>7.80</v>
      </c>
      <c r="D8" s="28">
        <f>+Tabulka14[[#This Row],[2020]]-Tabulka14[[#This Row],[2019]]</f>
        <v>0.10237982549999991</v>
      </c>
      <c r="E8" s="33">
        <f>+Tabulka14[[#This Row],[2020]]/Tabulka14[[#This Row],[2019]]-1</f>
        <v>0.013300191900758485</v>
      </c>
      <c r="F8" s="29">
        <v>8</v>
      </c>
      <c r="G8" s="29">
        <f>+Tabulka14[[#This Row],[2021]]-Tabulka14[[#This Row],[2020]]</f>
        <v>0.20000000000000018</v>
      </c>
      <c r="H8" s="38">
        <f>+Tabulka14[[#This Row],[2021]]/Tabulka14[[#This Row],[2020]]-1</f>
        <v>0.025641025641025772</v>
      </c>
      <c r="I8" s="29">
        <v>8.1999999999999993</v>
      </c>
      <c r="J8" s="36">
        <f>+Tabulka14[[#This Row],[2022]]-Tabulka14[[#This Row],[2021]]</f>
        <v>0.19999999999999929</v>
      </c>
      <c r="K8" s="44">
        <f>+Tabulka14[[#This Row],[2022]]/Tabulka14[[#This Row],[2021]]-1</f>
        <v>0.024999999999999911</v>
      </c>
    </row>
    <row r="9" spans="1:11" s="5" customFormat="1" ht="15">
      <c r="A9" s="6" t="s">
        <v>4</v>
      </c>
      <c r="B9" s="4">
        <v>60.400000000000006</v>
      </c>
      <c r="C9" s="16">
        <v>53</v>
      </c>
      <c r="D9" s="27">
        <f>+Tabulka14[[#This Row],[2020]]-Tabulka14[[#This Row],[2019]]</f>
        <v>-7.4000000000000057</v>
      </c>
      <c r="E9" s="31">
        <f>+Tabulka14[[#This Row],[2020]]/Tabulka14[[#This Row],[2019]]-1</f>
        <v>-0.1225165562913908</v>
      </c>
      <c r="F9" s="27">
        <v>62.50</v>
      </c>
      <c r="G9" s="27">
        <f>+Tabulka14[[#This Row],[2021]]-Tabulka14[[#This Row],[2020]]</f>
        <v>9.50</v>
      </c>
      <c r="H9" s="42">
        <f>+Tabulka14[[#This Row],[2021]]/Tabulka14[[#This Row],[2020]]-1</f>
        <v>0.179245283018868</v>
      </c>
      <c r="I9" s="27">
        <v>67</v>
      </c>
      <c r="J9" s="16">
        <f>+Tabulka14[[#This Row],[2022]]-Tabulka14[[#This Row],[2021]]</f>
        <v>4.50</v>
      </c>
      <c r="K9" s="43">
        <f>+Tabulka14[[#This Row],[2022]]/Tabulka14[[#This Row],[2021]]-1</f>
        <v>0.072000000000000064</v>
      </c>
    </row>
    <row r="10" spans="1:11" s="5" customFormat="1" ht="15">
      <c r="A10" s="8" t="s">
        <v>5</v>
      </c>
      <c r="B10" s="9">
        <v>4.80</v>
      </c>
      <c r="C10" s="10">
        <v>4.70</v>
      </c>
      <c r="D10" s="28">
        <f>+Tabulka14[[#This Row],[2020]]-Tabulka14[[#This Row],[2019]]</f>
        <v>-0.099999999999999645</v>
      </c>
      <c r="E10" s="32">
        <f>+Tabulka14[[#This Row],[2020]]/Tabulka14[[#This Row],[2019]]-1</f>
        <v>-0.020833333333333259</v>
      </c>
      <c r="F10" s="29">
        <v>5</v>
      </c>
      <c r="G10" s="29">
        <f>+Tabulka14[[#This Row],[2021]]-Tabulka14[[#This Row],[2020]]</f>
        <v>0.29999999999999982</v>
      </c>
      <c r="H10" s="38">
        <f>+Tabulka14[[#This Row],[2021]]/Tabulka14[[#This Row],[2020]]-1</f>
        <v>0.063829787234042534</v>
      </c>
      <c r="I10" s="29">
        <v>5</v>
      </c>
      <c r="J10" s="36">
        <f>+Tabulka14[[#This Row],[2022]]-Tabulka14[[#This Row],[2021]]</f>
        <v>0</v>
      </c>
      <c r="K10" s="45" t="s">
        <v>30</v>
      </c>
    </row>
    <row r="11" spans="1:11" s="5" customFormat="1" ht="15">
      <c r="A11" s="11" t="s">
        <v>29</v>
      </c>
      <c r="B11" s="9">
        <v>1.40</v>
      </c>
      <c r="C11" s="26">
        <v>0</v>
      </c>
      <c r="D11" s="28">
        <f>+Tabulka14[[#This Row],[2020]]-Tabulka14[[#This Row],[2019]]</f>
        <v>-1.40</v>
      </c>
      <c r="E11" s="32">
        <f>+Tabulka14[[#This Row],[2020]]/Tabulka14[[#This Row],[2019]]-1</f>
        <v>-1</v>
      </c>
      <c r="F11" s="29">
        <v>-0.10</v>
      </c>
      <c r="G11" s="29">
        <f>+Tabulka14[[#This Row],[2021]]-Tabulka14[[#This Row],[2020]]</f>
        <v>-0.10</v>
      </c>
      <c r="H11" s="39" t="s">
        <v>30</v>
      </c>
      <c r="I11" s="29">
        <v>0.80</v>
      </c>
      <c r="J11" s="36">
        <f>+Tabulka14[[#This Row],[2022]]-Tabulka14[[#This Row],[2021]]</f>
        <v>0.90</v>
      </c>
      <c r="K11" s="45" t="s">
        <v>30</v>
      </c>
    </row>
    <row r="12" spans="1:11" s="5" customFormat="1" ht="15">
      <c r="A12" s="11" t="s">
        <v>6</v>
      </c>
      <c r="B12" s="9">
        <v>54.20</v>
      </c>
      <c r="C12" s="10">
        <v>48.30</v>
      </c>
      <c r="D12" s="28">
        <f>+Tabulka14[[#This Row],[2020]]-Tabulka14[[#This Row],[2019]]</f>
        <v>-5.9000000000000057</v>
      </c>
      <c r="E12" s="32">
        <f>+Tabulka14[[#This Row],[2020]]/Tabulka14[[#This Row],[2019]]-1</f>
        <v>-0.10885608856088569</v>
      </c>
      <c r="F12" s="29">
        <v>57.60</v>
      </c>
      <c r="G12" s="29">
        <f>+Tabulka14[[#This Row],[2021]]-Tabulka14[[#This Row],[2020]]</f>
        <v>9.3000000000000043</v>
      </c>
      <c r="H12" s="38">
        <f>+Tabulka14[[#This Row],[2021]]/Tabulka14[[#This Row],[2020]]-1</f>
        <v>0.19254658385093171</v>
      </c>
      <c r="I12" s="29">
        <v>61.20</v>
      </c>
      <c r="J12" s="36">
        <f>+Tabulka14[[#This Row],[2022]]-Tabulka14[[#This Row],[2021]]</f>
        <v>3.6000000000000014</v>
      </c>
      <c r="K12" s="44">
        <f>+Tabulka14[[#This Row],[2022]]/Tabulka14[[#This Row],[2021]]-1</f>
        <v>0.0625</v>
      </c>
    </row>
    <row r="13" spans="1:11" s="5" customFormat="1" ht="15">
      <c r="A13" s="6" t="s">
        <v>7</v>
      </c>
      <c r="B13" s="4">
        <v>10.934732143989999</v>
      </c>
      <c r="C13" s="7">
        <v>11.10</v>
      </c>
      <c r="D13" s="27">
        <f>+Tabulka14[[#This Row],[2020]]-Tabulka14[[#This Row],[2019]]</f>
        <v>0.16526785601000071</v>
      </c>
      <c r="E13" s="34">
        <f>+Tabulka14[[#This Row],[2020]]/Tabulka14[[#This Row],[2019]]-1</f>
        <v>0.01511402875111445</v>
      </c>
      <c r="F13" s="27">
        <v>11.30</v>
      </c>
      <c r="G13" s="27">
        <f>+Tabulka14[[#This Row],[2021]]-Tabulka14[[#This Row],[2020]]</f>
        <v>0.20000000000000107</v>
      </c>
      <c r="H13" s="42">
        <f>+Tabulka14[[#This Row],[2021]]/Tabulka14[[#This Row],[2020]]-1</f>
        <v>0.018018018018018056</v>
      </c>
      <c r="I13" s="27">
        <v>11.50</v>
      </c>
      <c r="J13" s="16">
        <f>+Tabulka14[[#This Row],[2022]]-Tabulka14[[#This Row],[2021]]</f>
        <v>0.19999999999999929</v>
      </c>
      <c r="K13" s="43">
        <f>+Tabulka14[[#This Row],[2022]]/Tabulka14[[#This Row],[2021]]-1</f>
        <v>0.017699115044247815</v>
      </c>
    </row>
    <row r="14" spans="1:11" s="5" customFormat="1" ht="15">
      <c r="A14" s="6" t="s">
        <v>8</v>
      </c>
      <c r="B14" s="4">
        <v>8.8733256099200002</v>
      </c>
      <c r="C14" s="7">
        <v>7.70</v>
      </c>
      <c r="D14" s="27">
        <f>+Tabulka14[[#This Row],[2020]]-Tabulka14[[#This Row],[2019]]</f>
        <v>-1.17332560992</v>
      </c>
      <c r="E14" s="31">
        <f>+Tabulka14[[#This Row],[2020]]/Tabulka14[[#This Row],[2019]]-1</f>
        <v>-0.13223064964597619</v>
      </c>
      <c r="F14" s="27">
        <v>8.10</v>
      </c>
      <c r="G14" s="27">
        <f>+Tabulka14[[#This Row],[2021]]-Tabulka14[[#This Row],[2020]]</f>
        <v>0.39999999999999947</v>
      </c>
      <c r="H14" s="42">
        <f>+Tabulka14[[#This Row],[2021]]/Tabulka14[[#This Row],[2020]]-1</f>
        <v>0.051948051948051965</v>
      </c>
      <c r="I14" s="27">
        <v>8.8000000000000007</v>
      </c>
      <c r="J14" s="16">
        <f>+Tabulka14[[#This Row],[2022]]-Tabulka14[[#This Row],[2021]]</f>
        <v>0.70000000000000107</v>
      </c>
      <c r="K14" s="43">
        <f>+Tabulka14[[#This Row],[2022]]/Tabulka14[[#This Row],[2021]]-1</f>
        <v>0.086419753086419915</v>
      </c>
    </row>
    <row r="15" spans="1:11" s="5" customFormat="1" ht="15">
      <c r="A15" s="12" t="s">
        <v>9</v>
      </c>
      <c r="B15" s="4">
        <v>3.42653138425</v>
      </c>
      <c r="C15" s="7">
        <v>2.80</v>
      </c>
      <c r="D15" s="27">
        <f>+Tabulka14[[#This Row],[2020]]-Tabulka14[[#This Row],[2019]]</f>
        <v>-0.62653138425000021</v>
      </c>
      <c r="E15" s="31">
        <f>+Tabulka14[[#This Row],[2020]]/Tabulka14[[#This Row],[2019]]-1</f>
        <v>-0.18284711680442867</v>
      </c>
      <c r="F15" s="27">
        <v>3</v>
      </c>
      <c r="G15" s="27">
        <f>+Tabulka14[[#This Row],[2021]]-Tabulka14[[#This Row],[2020]]</f>
        <v>0.20000000000000018</v>
      </c>
      <c r="H15" s="42">
        <f>+Tabulka14[[#This Row],[2021]]/Tabulka14[[#This Row],[2020]]-1</f>
        <v>0.071428571428571397</v>
      </c>
      <c r="I15" s="27">
        <v>3.40</v>
      </c>
      <c r="J15" s="16">
        <f>+Tabulka14[[#This Row],[2022]]-Tabulka14[[#This Row],[2021]]</f>
        <v>0.39999999999999991</v>
      </c>
      <c r="K15" s="43">
        <f>+Tabulka14[[#This Row],[2022]]/Tabulka14[[#This Row],[2021]]-1</f>
        <v>0.1333333333333333</v>
      </c>
    </row>
    <row r="16" spans="1:11" ht="15">
      <c r="A16" s="12" t="s">
        <v>11</v>
      </c>
      <c r="B16" s="4">
        <v>4.84</v>
      </c>
      <c r="C16" s="7">
        <v>4.17</v>
      </c>
      <c r="D16" s="27">
        <f>+Tabulka14[[#This Row],[2020]]-Tabulka14[[#This Row],[2019]]</f>
        <v>-0.67</v>
      </c>
      <c r="E16" s="31">
        <f>+Tabulka14[[#This Row],[2020]]/Tabulka14[[#This Row],[2019]]-1</f>
        <v>-0.13842975206611574</v>
      </c>
      <c r="F16" s="27">
        <v>5</v>
      </c>
      <c r="G16" s="27">
        <f>+Tabulka14[[#This Row],[2021]]-Tabulka14[[#This Row],[2020]]</f>
        <v>0.83</v>
      </c>
      <c r="H16" s="42">
        <f>+Tabulka14[[#This Row],[2021]]/Tabulka14[[#This Row],[2020]]-1</f>
        <v>0.19904076738609122</v>
      </c>
      <c r="I16" s="27">
        <v>4.9400000000000004</v>
      </c>
      <c r="J16" s="16">
        <f>+Tabulka14[[#This Row],[2022]]-Tabulka14[[#This Row],[2021]]</f>
        <v>-0.059999999999999609</v>
      </c>
      <c r="K16" s="43">
        <f>+Tabulka14[[#This Row],[2022]]/Tabulka14[[#This Row],[2021]]-1</f>
        <v>-0.0119999999999999</v>
      </c>
    </row>
    <row r="17" spans="1:11" ht="15">
      <c r="A17" s="40" t="s">
        <v>12</v>
      </c>
      <c r="B17" s="46">
        <f>+B5+B6+B9+B13+B14+B15+B16</f>
        <v>241.07220931266002</v>
      </c>
      <c r="C17" s="47">
        <f>+C5+C6+C9+C13+C14+C15+C16</f>
        <v>215.07</v>
      </c>
      <c r="D17" s="37">
        <f>+D5+D6+D9+D13+D14+D15+D16</f>
        <v>-26.00220931266</v>
      </c>
      <c r="E17" s="35">
        <f>+Tabulka14[[#Totals],[2020]]/Tabulka14[[#Totals],[2019]]-1</f>
        <v>-0.10786066708724729</v>
      </c>
      <c r="F17" s="48">
        <f>+F5+F6+F9+F13+F14+F15+F16</f>
        <v>232.20000000000002</v>
      </c>
      <c r="G17" s="75">
        <f>+Tabulka14[[#Totals],[2021]]-Tabulka14[[#Totals],[2020]]</f>
        <v>17.130000000000024</v>
      </c>
      <c r="H17" s="41">
        <f>+Tabulka14[[#Totals],[2021]]/Tabulka14[[#Totals],[2020]]-1</f>
        <v>0.079648486539266372</v>
      </c>
      <c r="I17" s="48">
        <f>+I5+I6+I9+I13+I14+I15+I16</f>
        <v>244.34</v>
      </c>
      <c r="J17" s="76">
        <f>+J5+J6+J9+J13+J14+J15+J16</f>
        <v>12.139999999999993</v>
      </c>
      <c r="K17" s="66">
        <f>+Tabulka14[[#Totals],[2022]]/Tabulka14[[#Totals],[2021]]-1</f>
        <v>0.052282515073212688</v>
      </c>
    </row>
    <row r="18" spans="1:5" ht="15">
      <c r="A18" s="18"/>
      <c r="B18" s="19"/>
      <c r="C18" s="19"/>
      <c r="D18" s="19"/>
      <c r="E18" s="21"/>
    </row>
    <row r="19" spans="1:11" s="14" customFormat="1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5" customFormat="1" ht="15">
      <c r="A20" s="13" t="s">
        <v>18</v>
      </c>
      <c r="B20" s="15" t="s">
        <v>15</v>
      </c>
      <c r="C20" s="15" t="s">
        <v>16</v>
      </c>
      <c r="D20" s="15" t="s">
        <v>22</v>
      </c>
      <c r="E20" s="52" t="s">
        <v>23</v>
      </c>
      <c r="F20" s="17" t="s">
        <v>21</v>
      </c>
      <c r="G20" s="17" t="s">
        <v>24</v>
      </c>
      <c r="H20" s="30" t="s">
        <v>25</v>
      </c>
      <c r="I20" s="17" t="s">
        <v>26</v>
      </c>
      <c r="J20" s="17" t="s">
        <v>27</v>
      </c>
      <c r="K20" s="17" t="s">
        <v>28</v>
      </c>
    </row>
    <row r="21" spans="1:11" s="5" customFormat="1" ht="15">
      <c r="A21" s="6" t="s">
        <v>0</v>
      </c>
      <c r="B21" s="4">
        <v>38.50</v>
      </c>
      <c r="C21" s="7">
        <v>37.50</v>
      </c>
      <c r="D21" s="27">
        <f>+Tabulka135[[#This Row],[2020]]-Tabulka135[[#This Row],[2019]]</f>
        <v>-1</v>
      </c>
      <c r="E21" s="31">
        <f>+Tabulka135[[#This Row],[2020]]/Tabulka135[[#This Row],[2019]]-1</f>
        <v>-0.025974025974025983</v>
      </c>
      <c r="F21" s="16">
        <v>39.10</v>
      </c>
      <c r="G21" s="16">
        <f>+Tabulka135[[#This Row],[2021]]-Tabulka135[[#This Row],[2020]]</f>
        <v>1.6000000000000014</v>
      </c>
      <c r="H21" s="42">
        <f>+Tabulka135[[#This Row],[2021]]/Tabulka135[[#This Row],[2020]]-1</f>
        <v>0.042666666666666631</v>
      </c>
      <c r="I21" s="7">
        <v>40.700000000000003</v>
      </c>
      <c r="J21" s="16">
        <f>+Tabulka135[[#This Row],[2022]]-Tabulka135[[#This Row],[2021]]</f>
        <v>1.6000000000000014</v>
      </c>
      <c r="K21" s="43">
        <f>+Tabulka135[[#This Row],[2022]]/Tabulka135[[#This Row],[2021]]-1</f>
        <v>0.040920716112532007</v>
      </c>
    </row>
    <row r="22" spans="1:11" s="5" customFormat="1" ht="15">
      <c r="A22" s="6" t="s">
        <v>1</v>
      </c>
      <c r="B22" s="4">
        <v>16.579752200000001</v>
      </c>
      <c r="C22" s="7">
        <v>11.40</v>
      </c>
      <c r="D22" s="27">
        <f>+Tabulka135[[#This Row],[2020]]-Tabulka135[[#This Row],[2019]]</f>
        <v>-5.1797522000000011</v>
      </c>
      <c r="E22" s="31">
        <f>+Tabulka135[[#This Row],[2020]]/Tabulka135[[#This Row],[2019]]-1</f>
        <v>-0.31241433150008124</v>
      </c>
      <c r="F22" s="16">
        <v>12</v>
      </c>
      <c r="G22" s="16">
        <f>+Tabulka135[[#This Row],[2021]]-Tabulka135[[#This Row],[2020]]</f>
        <v>0.59999999999999964</v>
      </c>
      <c r="H22" s="42">
        <f>+Tabulka135[[#This Row],[2021]]/Tabulka135[[#This Row],[2020]]-1</f>
        <v>0.052631578947368363</v>
      </c>
      <c r="I22" s="7">
        <v>12.80</v>
      </c>
      <c r="J22" s="16">
        <f>+Tabulka135[[#This Row],[2022]]-Tabulka135[[#This Row],[2021]]</f>
        <v>0.80000000000000071</v>
      </c>
      <c r="K22" s="43">
        <f>+Tabulka135[[#This Row],[2022]]/Tabulka135[[#This Row],[2021]]-1</f>
        <v>0.066666666666666652</v>
      </c>
    </row>
    <row r="23" spans="1:11" s="5" customFormat="1" ht="15">
      <c r="A23" s="8" t="s">
        <v>2</v>
      </c>
      <c r="B23" s="9">
        <v>16.30</v>
      </c>
      <c r="C23" s="10">
        <v>11.10</v>
      </c>
      <c r="D23" s="28">
        <f>+Tabulka135[[#This Row],[2020]]-Tabulka135[[#This Row],[2019]]</f>
        <v>-5.2000000000000011</v>
      </c>
      <c r="E23" s="32">
        <f>+Tabulka135[[#This Row],[2020]]/Tabulka135[[#This Row],[2019]]-1</f>
        <v>-0.31901840490797551</v>
      </c>
      <c r="F23" s="36">
        <v>11.70</v>
      </c>
      <c r="G23" s="36">
        <f>+Tabulka135[[#This Row],[2021]]-Tabulka135[[#This Row],[2020]]</f>
        <v>0.59999999999999964</v>
      </c>
      <c r="H23" s="38">
        <f>+Tabulka135[[#This Row],[2021]]/Tabulka135[[#This Row],[2020]]-1</f>
        <v>0.054054054054053946</v>
      </c>
      <c r="I23" s="5">
        <v>12.50</v>
      </c>
      <c r="J23" s="36">
        <f>+Tabulka135[[#This Row],[2022]]-Tabulka135[[#This Row],[2021]]</f>
        <v>0.80000000000000071</v>
      </c>
      <c r="K23" s="44">
        <f>+Tabulka135[[#This Row],[2022]]/Tabulka135[[#This Row],[2021]]-1</f>
        <v>0.068376068376068355</v>
      </c>
    </row>
    <row r="24" spans="1:11" s="5" customFormat="1" ht="15">
      <c r="A24" s="8" t="s">
        <v>3</v>
      </c>
      <c r="B24" s="9">
        <v>0.27975220000000001</v>
      </c>
      <c r="C24" s="10">
        <v>0.30</v>
      </c>
      <c r="D24" s="28">
        <f>+Tabulka135[[#This Row],[2020]]-Tabulka135[[#This Row],[2019]]</f>
        <v>0.020247799999999982</v>
      </c>
      <c r="E24" s="33">
        <f>+Tabulka135[[#This Row],[2020]]/Tabulka135[[#This Row],[2019]]-1</f>
        <v>0.072377625627251474</v>
      </c>
      <c r="F24" s="36">
        <v>0.30</v>
      </c>
      <c r="G24" s="36">
        <f>+Tabulka135[[#This Row],[2021]]-Tabulka135[[#This Row],[2020]]</f>
        <v>0</v>
      </c>
      <c r="H24" s="39" t="s">
        <v>30</v>
      </c>
      <c r="I24" s="5">
        <v>0.30</v>
      </c>
      <c r="J24" s="36">
        <f>+Tabulka135[[#This Row],[2022]]-Tabulka135[[#This Row],[2021]]</f>
        <v>0</v>
      </c>
      <c r="K24" s="45" t="s">
        <v>30</v>
      </c>
    </row>
    <row r="25" spans="1:11" s="5" customFormat="1" ht="15">
      <c r="A25" s="6" t="s">
        <v>4</v>
      </c>
      <c r="B25" s="4">
        <v>21.60</v>
      </c>
      <c r="C25" s="16">
        <v>19</v>
      </c>
      <c r="D25" s="27">
        <f>+Tabulka135[[#This Row],[2020]]-Tabulka135[[#This Row],[2019]]</f>
        <v>-2.6000000000000014</v>
      </c>
      <c r="E25" s="31">
        <f>+Tabulka135[[#This Row],[2020]]/Tabulka135[[#This Row],[2019]]-1</f>
        <v>-0.12037037037037046</v>
      </c>
      <c r="F25" s="16">
        <v>22.40</v>
      </c>
      <c r="G25" s="16">
        <f>+Tabulka135[[#This Row],[2021]]-Tabulka135[[#This Row],[2020]]</f>
        <v>3.3999999999999986</v>
      </c>
      <c r="H25" s="42">
        <f>+Tabulka135[[#This Row],[2021]]/Tabulka135[[#This Row],[2020]]-1</f>
        <v>0.17894736842105252</v>
      </c>
      <c r="I25" s="7">
        <v>23.90</v>
      </c>
      <c r="J25" s="16">
        <f>+Tabulka135[[#This Row],[2022]]-Tabulka135[[#This Row],[2021]]</f>
        <v>1.50</v>
      </c>
      <c r="K25" s="43">
        <f>+Tabulka135[[#This Row],[2022]]/Tabulka135[[#This Row],[2021]]-1</f>
        <v>0.066964285714285809</v>
      </c>
    </row>
    <row r="26" spans="1:11" s="5" customFormat="1" ht="15">
      <c r="A26" s="8" t="s">
        <v>5</v>
      </c>
      <c r="B26" s="9">
        <v>1.80</v>
      </c>
      <c r="C26" s="10">
        <v>1.80</v>
      </c>
      <c r="D26" s="29">
        <f>+Tabulka135[[#This Row],[2020]]-Tabulka135[[#This Row],[2019]]</f>
        <v>0</v>
      </c>
      <c r="E26" s="51" t="s">
        <v>30</v>
      </c>
      <c r="F26" s="36">
        <v>1.90</v>
      </c>
      <c r="G26" s="36">
        <f>+Tabulka135[[#This Row],[2021]]-Tabulka135[[#This Row],[2020]]</f>
        <v>0.099999999999999867</v>
      </c>
      <c r="H26" s="38">
        <f>+Tabulka135[[#This Row],[2021]]/Tabulka135[[#This Row],[2020]]-1</f>
        <v>0.05555555555555558</v>
      </c>
      <c r="I26" s="5">
        <v>1.90</v>
      </c>
      <c r="J26" s="36">
        <f>+Tabulka135[[#This Row],[2022]]-Tabulka135[[#This Row],[2021]]</f>
        <v>0</v>
      </c>
      <c r="K26" s="45">
        <f>+Tabulka135[[#This Row],[2022]]/Tabulka135[[#This Row],[2021]]-1</f>
        <v>0</v>
      </c>
    </row>
    <row r="27" spans="1:11" s="5" customFormat="1" ht="15">
      <c r="A27" s="11" t="s">
        <v>29</v>
      </c>
      <c r="B27" s="9">
        <v>0.50</v>
      </c>
      <c r="C27" s="26">
        <v>0</v>
      </c>
      <c r="D27" s="29">
        <f>+Tabulka135[[#This Row],[2020]]-Tabulka135[[#This Row],[2019]]</f>
        <v>-0.50</v>
      </c>
      <c r="E27" s="49">
        <f>+Tabulka135[[#This Row],[2020]]/Tabulka135[[#This Row],[2019]]-1</f>
        <v>-1</v>
      </c>
      <c r="F27" s="36">
        <v>0</v>
      </c>
      <c r="G27" s="36">
        <f>+Tabulka135[[#This Row],[2021]]-Tabulka135[[#This Row],[2020]]</f>
        <v>0</v>
      </c>
      <c r="H27" s="39" t="s">
        <v>30</v>
      </c>
      <c r="I27" s="5">
        <v>0.30</v>
      </c>
      <c r="J27" s="36">
        <f>+Tabulka135[[#This Row],[2022]]-Tabulka135[[#This Row],[2021]]</f>
        <v>0.30</v>
      </c>
      <c r="K27" s="45" t="s">
        <v>30</v>
      </c>
    </row>
    <row r="28" spans="1:11" s="5" customFormat="1" ht="15">
      <c r="A28" s="11" t="s">
        <v>6</v>
      </c>
      <c r="B28" s="9">
        <v>19.30</v>
      </c>
      <c r="C28" s="10">
        <v>17.20</v>
      </c>
      <c r="D28" s="29">
        <f>+Tabulka135[[#This Row],[2020]]-Tabulka135[[#This Row],[2019]]</f>
        <v>-2.1000000000000014</v>
      </c>
      <c r="E28" s="49">
        <f>+Tabulka135[[#This Row],[2020]]/Tabulka135[[#This Row],[2019]]-1</f>
        <v>-0.10880829015544047</v>
      </c>
      <c r="F28" s="36">
        <v>20.50</v>
      </c>
      <c r="G28" s="36">
        <f>+Tabulka135[[#This Row],[2021]]-Tabulka135[[#This Row],[2020]]</f>
        <v>3.3000000000000007</v>
      </c>
      <c r="H28" s="38">
        <f>+Tabulka135[[#This Row],[2021]]/Tabulka135[[#This Row],[2020]]-1</f>
        <v>0.19186046511627919</v>
      </c>
      <c r="I28" s="5">
        <v>21.70</v>
      </c>
      <c r="J28" s="36">
        <f>+Tabulka135[[#This Row],[2022]]-Tabulka135[[#This Row],[2021]]</f>
        <v>1.1999999999999993</v>
      </c>
      <c r="K28" s="44">
        <f>+Tabulka135[[#This Row],[2022]]/Tabulka135[[#This Row],[2021]]-1</f>
        <v>0.058536585365853711</v>
      </c>
    </row>
    <row r="29" spans="1:11" s="5" customFormat="1" ht="15">
      <c r="A29" s="12" t="s">
        <v>9</v>
      </c>
      <c r="B29" s="4">
        <v>0.10</v>
      </c>
      <c r="C29" s="7">
        <v>0.10</v>
      </c>
      <c r="D29" s="27">
        <f>+Tabulka135[[#This Row],[2020]]-Tabulka135[[#This Row],[2019]]</f>
        <v>0</v>
      </c>
      <c r="E29" s="49"/>
      <c r="F29" s="16">
        <v>0.10</v>
      </c>
      <c r="G29" s="16">
        <f>+Tabulka135[[#This Row],[2021]]-Tabulka135[[#This Row],[2020]]</f>
        <v>0</v>
      </c>
      <c r="H29" s="42">
        <f>+Tabulka135[[#This Row],[2021]]/Tabulka135[[#This Row],[2020]]-1</f>
        <v>0</v>
      </c>
      <c r="I29" s="7">
        <v>0.10</v>
      </c>
      <c r="J29" s="16">
        <f>+Tabulka135[[#This Row],[2022]]-Tabulka135[[#This Row],[2021]]</f>
        <v>0</v>
      </c>
      <c r="K29" s="43">
        <f>+Tabulka135[[#This Row],[2022]]/Tabulka135[[#This Row],[2021]]-1</f>
        <v>0</v>
      </c>
    </row>
    <row r="30" spans="1:11" s="5" customFormat="1" ht="15">
      <c r="A30" s="40" t="s">
        <v>12</v>
      </c>
      <c r="B30" s="46">
        <f>+B21+B22+B25+B29</f>
        <v>76.77975219999999</v>
      </c>
      <c r="C30" s="47">
        <f>+C21+C22+C25+C29</f>
        <v>68</v>
      </c>
      <c r="D30" s="37">
        <f>+D21+D22+D25+D29</f>
        <v>-8.7797522000000026</v>
      </c>
      <c r="E30" s="35">
        <f>+Tabulka135[[#Totals],[2020]]/Tabulka135[[#Totals],[2019]]-1</f>
        <v>-0.11434983766462314</v>
      </c>
      <c r="F30" s="48">
        <f>+F21+F22+F25+F29</f>
        <v>73.599999999999994</v>
      </c>
      <c r="G30" s="65">
        <f>+Tabulka135[[#Totals],[2021]]-Tabulka135[[#Totals],[2020]]</f>
        <v>5.5999999999999943</v>
      </c>
      <c r="H30" s="53">
        <f>+Tabulka135[[#Totals],[2021]]/Tabulka135[[#Totals],[2020]]-1</f>
        <v>0.082352941176470518</v>
      </c>
      <c r="I30" s="50">
        <f>+I21+I22+I25+I29</f>
        <v>77.50</v>
      </c>
      <c r="J30" s="65">
        <f>+Tabulka135[[#Totals],[2022]]-Tabulka135[[#Totals],[2021]]</f>
        <v>3.9000000000000057</v>
      </c>
      <c r="K30" s="54">
        <f>+Tabulka135[[#Totals],[2022]]/Tabulka135[[#Totals],[2021]]-1</f>
        <v>0.052989130434782705</v>
      </c>
    </row>
    <row r="31" spans="1:5" s="5" customFormat="1" ht="15">
      <c r="A31" s="1"/>
      <c r="B31" s="1"/>
      <c r="C31" s="1"/>
      <c r="D31" s="1"/>
      <c r="E31" s="1"/>
    </row>
    <row r="32" spans="6:11" ht="15">
      <c r="F32" s="5"/>
      <c r="G32" s="5"/>
      <c r="H32" s="5"/>
      <c r="I32" s="5"/>
      <c r="J32" s="5"/>
      <c r="K32" s="5"/>
    </row>
  </sheetData>
  <mergeCells count="2">
    <mergeCell ref="B2:C2"/>
    <mergeCell ref="D2:E2"/>
  </mergeCells>
  <printOptions horizontalCentered="1" verticalCentered="1"/>
  <pageMargins left="0.31496062992126" right="0.31496062992126" top="0.196850393700787" bottom="0.196850393700787" header="0.31496062992126" footer="0.31496062992126"/>
  <pageSetup orientation="landscape" paperSize="9" scale="99" r:id="rId3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workbookViewId="0" topLeftCell="A1">
      <selection pane="topLeft" activeCell="I3" sqref="I3"/>
    </sheetView>
  </sheetViews>
  <sheetFormatPr defaultColWidth="8.85546875" defaultRowHeight="15"/>
  <cols>
    <col min="1" max="1" width="34.5714285714286" style="1" customWidth="1"/>
    <col min="2" max="11" width="10.7142857142857" style="1" customWidth="1"/>
    <col min="12" max="16384" width="8.85714285714286" style="1"/>
  </cols>
  <sheetData>
    <row r="1" s="3" customFormat="1" ht="25.9" customHeight="1">
      <c r="A1" s="2" t="s">
        <v>10</v>
      </c>
    </row>
    <row r="2" spans="1:11" s="3" customFormat="1" ht="28.15" customHeight="1">
      <c r="A2" s="2" t="s">
        <v>43</v>
      </c>
      <c r="B2" s="2"/>
      <c r="C2" s="114">
        <v>2020</v>
      </c>
      <c r="D2" s="114"/>
      <c r="E2" s="114"/>
      <c r="F2" s="114">
        <v>2021</v>
      </c>
      <c r="G2" s="114"/>
      <c r="H2" s="114"/>
      <c r="I2" s="114">
        <v>2022</v>
      </c>
      <c r="J2" s="114"/>
      <c r="K2" s="114"/>
    </row>
    <row r="3" spans="1:11" s="14" customFormat="1" ht="15">
      <c r="A3" s="13" t="s">
        <v>19</v>
      </c>
      <c r="B3" s="15" t="s">
        <v>15</v>
      </c>
      <c r="C3" s="15" t="s">
        <v>16</v>
      </c>
      <c r="D3" s="17" t="s">
        <v>22</v>
      </c>
      <c r="E3" s="30" t="s">
        <v>23</v>
      </c>
      <c r="F3" s="17" t="s">
        <v>21</v>
      </c>
      <c r="G3" s="17" t="s">
        <v>24</v>
      </c>
      <c r="H3" s="30" t="s">
        <v>25</v>
      </c>
      <c r="I3" s="17" t="s">
        <v>26</v>
      </c>
      <c r="J3" s="17" t="s">
        <v>27</v>
      </c>
      <c r="K3" s="17" t="s">
        <v>28</v>
      </c>
    </row>
    <row r="4" spans="1:11" s="5" customFormat="1" ht="15">
      <c r="A4" s="67"/>
      <c r="B4" s="68" t="s">
        <v>33</v>
      </c>
      <c r="C4" s="69" t="s">
        <v>34</v>
      </c>
      <c r="D4" s="70" t="s">
        <v>35</v>
      </c>
      <c r="E4" s="71" t="s">
        <v>36</v>
      </c>
      <c r="F4" s="69" t="s">
        <v>37</v>
      </c>
      <c r="G4" s="70" t="s">
        <v>38</v>
      </c>
      <c r="H4" s="73" t="s">
        <v>39</v>
      </c>
      <c r="I4" s="69" t="s">
        <v>40</v>
      </c>
      <c r="J4" s="72" t="s">
        <v>41</v>
      </c>
      <c r="K4" s="74" t="s">
        <v>42</v>
      </c>
    </row>
    <row r="5" spans="1:11" s="5" customFormat="1" ht="15">
      <c r="A5" s="6" t="s">
        <v>44</v>
      </c>
      <c r="B5" s="4">
        <v>101.80</v>
      </c>
      <c r="C5" s="16">
        <v>99</v>
      </c>
      <c r="D5" s="27">
        <f>+Tabulka148[[#This Row],[2020]]-Tabulka148[[#This Row],[2019]]</f>
        <v>-2.7999999999999972</v>
      </c>
      <c r="E5" s="79">
        <f>+Tabulka148[[#This Row],[2020]]/Tabulka148[[#This Row],[2019]]-1</f>
        <v>-0.027504911591355596</v>
      </c>
      <c r="F5" s="27">
        <v>104.50</v>
      </c>
      <c r="G5" s="27">
        <f>+Tabulka148[[#This Row],[2021]]-Tabulka148[[#This Row],[2020]]</f>
        <v>5.50</v>
      </c>
      <c r="H5" s="42">
        <f>+Tabulka148[[#This Row],[2021]]/Tabulka148[[#This Row],[2020]]-1</f>
        <v>0.05555555555555558</v>
      </c>
      <c r="I5" s="27">
        <v>109.20</v>
      </c>
      <c r="J5" s="27">
        <f>+Tabulka148[[#This Row],[2022]]-Tabulka148[[#This Row],[2021]]</f>
        <v>4.7000000000000028</v>
      </c>
      <c r="K5" s="43">
        <f>+Tabulka148[[#This Row],[2022]]/Tabulka148[[#This Row],[2021]]-1</f>
        <v>0.044976076555024003</v>
      </c>
    </row>
    <row r="6" spans="1:11" s="5" customFormat="1" ht="15">
      <c r="A6" s="6" t="s">
        <v>1</v>
      </c>
      <c r="B6" s="4">
        <v>50.797620174500004</v>
      </c>
      <c r="C6" s="16">
        <v>39.90</v>
      </c>
      <c r="D6" s="27">
        <f>+Tabulka148[[#This Row],[2020]]-Tabulka148[[#This Row],[2019]]</f>
        <v>-10.897620174500005</v>
      </c>
      <c r="E6" s="79">
        <f>+Tabulka148[[#This Row],[2020]]/Tabulka148[[#This Row],[2019]]-1</f>
        <v>-0.21453013225943451</v>
      </c>
      <c r="F6" s="27">
        <v>39.200000000000003</v>
      </c>
      <c r="G6" s="27">
        <f>+Tabulka148[[#This Row],[2021]]-Tabulka148[[#This Row],[2020]]</f>
        <v>-0.69999999999999574</v>
      </c>
      <c r="H6" s="42">
        <f>+Tabulka148[[#This Row],[2021]]/Tabulka148[[#This Row],[2020]]-1</f>
        <v>-0.017543859649122751</v>
      </c>
      <c r="I6" s="27">
        <v>43.40</v>
      </c>
      <c r="J6" s="27">
        <f>+Tabulka148[[#This Row],[2022]]-Tabulka148[[#This Row],[2021]]</f>
        <v>4.1999999999999957</v>
      </c>
      <c r="K6" s="43">
        <f>+Tabulka148[[#This Row],[2022]]/Tabulka148[[#This Row],[2021]]-1</f>
        <v>0.10714285714285698</v>
      </c>
    </row>
    <row r="7" spans="1:11" s="5" customFormat="1" ht="15">
      <c r="A7" s="8" t="s">
        <v>45</v>
      </c>
      <c r="B7" s="9">
        <v>43.10</v>
      </c>
      <c r="C7" s="26">
        <v>32.10</v>
      </c>
      <c r="D7" s="28">
        <f>+Tabulka148[[#This Row],[2020]]-Tabulka148[[#This Row],[2019]]</f>
        <v>-11</v>
      </c>
      <c r="E7" s="80">
        <f>+Tabulka148[[#This Row],[2020]]/Tabulka148[[#This Row],[2019]]-1</f>
        <v>-0.25522041763341063</v>
      </c>
      <c r="F7" s="29">
        <v>31.20</v>
      </c>
      <c r="G7" s="29">
        <f>+Tabulka148[[#This Row],[2021]]-Tabulka148[[#This Row],[2020]]</f>
        <v>-0.90000000000000213</v>
      </c>
      <c r="H7" s="38">
        <f>+Tabulka148[[#This Row],[2021]]/Tabulka148[[#This Row],[2020]]-1</f>
        <v>-0.028037383177570208</v>
      </c>
      <c r="I7" s="29">
        <v>35.200000000000003</v>
      </c>
      <c r="J7" s="29">
        <f>+Tabulka148[[#This Row],[2022]]-Tabulka148[[#This Row],[2021]]</f>
        <v>4.0000000000000036</v>
      </c>
      <c r="K7" s="44">
        <f>+Tabulka148[[#This Row],[2022]]/Tabulka148[[#This Row],[2021]]-1</f>
        <v>0.12820512820512842</v>
      </c>
    </row>
    <row r="8" spans="1:11" s="5" customFormat="1" ht="15">
      <c r="A8" s="8" t="s">
        <v>3</v>
      </c>
      <c r="B8" s="9">
        <v>7.6976201744999999</v>
      </c>
      <c r="C8" s="26">
        <v>7.80</v>
      </c>
      <c r="D8" s="28">
        <f>+Tabulka148[[#This Row],[2020]]-Tabulka148[[#This Row],[2019]]</f>
        <v>0.10237982549999991</v>
      </c>
      <c r="E8" s="81">
        <f>+Tabulka148[[#This Row],[2020]]/Tabulka148[[#This Row],[2019]]-1</f>
        <v>0.013300191900758485</v>
      </c>
      <c r="F8" s="29">
        <v>8</v>
      </c>
      <c r="G8" s="29">
        <f>+Tabulka148[[#This Row],[2021]]-Tabulka148[[#This Row],[2020]]</f>
        <v>0.20000000000000018</v>
      </c>
      <c r="H8" s="38">
        <f>+Tabulka148[[#This Row],[2021]]/Tabulka148[[#This Row],[2020]]-1</f>
        <v>0.025641025641025772</v>
      </c>
      <c r="I8" s="29">
        <v>8.1999999999999993</v>
      </c>
      <c r="J8" s="29">
        <f>+Tabulka148[[#This Row],[2022]]-Tabulka148[[#This Row],[2021]]</f>
        <v>0.19999999999999929</v>
      </c>
      <c r="K8" s="44">
        <f>+Tabulka148[[#This Row],[2022]]/Tabulka148[[#This Row],[2021]]-1</f>
        <v>0.024999999999999911</v>
      </c>
    </row>
    <row r="9" spans="1:11" s="5" customFormat="1" ht="15">
      <c r="A9" s="6" t="s">
        <v>46</v>
      </c>
      <c r="B9" s="4">
        <v>60.400000000000006</v>
      </c>
      <c r="C9" s="16">
        <v>55.20</v>
      </c>
      <c r="D9" s="27">
        <f>+Tabulka148[[#This Row],[2020]]-Tabulka148[[#This Row],[2019]]</f>
        <v>-5.2000000000000028</v>
      </c>
      <c r="E9" s="79">
        <f>+Tabulka148[[#This Row],[2020]]/Tabulka148[[#This Row],[2019]]-1</f>
        <v>-0.086092715231788075</v>
      </c>
      <c r="F9" s="27">
        <v>62.10</v>
      </c>
      <c r="G9" s="27">
        <f>+Tabulka148[[#This Row],[2021]]-Tabulka148[[#This Row],[2020]]</f>
        <v>6.8999999999999986</v>
      </c>
      <c r="H9" s="42">
        <f>+Tabulka148[[#This Row],[2021]]/Tabulka148[[#This Row],[2020]]-1</f>
        <v>0.125</v>
      </c>
      <c r="I9" s="27">
        <v>64.599999999999994</v>
      </c>
      <c r="J9" s="27">
        <f>+Tabulka148[[#This Row],[2022]]-Tabulka148[[#This Row],[2021]]</f>
        <v>2.4999999999999929</v>
      </c>
      <c r="K9" s="43">
        <f>+Tabulka148[[#This Row],[2022]]/Tabulka148[[#This Row],[2021]]-1</f>
        <v>0.040257648953301084</v>
      </c>
    </row>
    <row r="10" spans="1:11" s="5" customFormat="1" ht="15">
      <c r="A10" s="8" t="s">
        <v>5</v>
      </c>
      <c r="B10" s="9">
        <v>4.80</v>
      </c>
      <c r="C10" s="26">
        <v>4.70</v>
      </c>
      <c r="D10" s="28">
        <f>+Tabulka148[[#This Row],[2020]]-Tabulka148[[#This Row],[2019]]</f>
        <v>-0.099999999999999645</v>
      </c>
      <c r="E10" s="80">
        <f>+Tabulka148[[#This Row],[2020]]/Tabulka148[[#This Row],[2019]]-1</f>
        <v>-0.020833333333333259</v>
      </c>
      <c r="F10" s="29">
        <v>5</v>
      </c>
      <c r="G10" s="29">
        <f>+Tabulka148[[#This Row],[2021]]-Tabulka148[[#This Row],[2020]]</f>
        <v>0.29999999999999982</v>
      </c>
      <c r="H10" s="38">
        <f>+Tabulka148[[#This Row],[2021]]/Tabulka148[[#This Row],[2020]]-1</f>
        <v>0.063829787234042534</v>
      </c>
      <c r="I10" s="29">
        <v>5</v>
      </c>
      <c r="J10" s="29">
        <f>+Tabulka148[[#This Row],[2022]]-Tabulka148[[#This Row],[2021]]</f>
        <v>0</v>
      </c>
      <c r="K10" s="45" t="s">
        <v>30</v>
      </c>
    </row>
    <row r="11" spans="1:11" s="5" customFormat="1" ht="15">
      <c r="A11" s="11" t="s">
        <v>29</v>
      </c>
      <c r="B11" s="9">
        <v>1.40</v>
      </c>
      <c r="C11" s="26">
        <v>0.40</v>
      </c>
      <c r="D11" s="28">
        <f>+Tabulka148[[#This Row],[2020]]-Tabulka148[[#This Row],[2019]]</f>
        <v>-0.99999999999999989</v>
      </c>
      <c r="E11" s="80">
        <f>+Tabulka148[[#This Row],[2020]]/Tabulka148[[#This Row],[2019]]-1</f>
        <v>-0.71428571428571419</v>
      </c>
      <c r="F11" s="29">
        <v>0.80</v>
      </c>
      <c r="G11" s="29">
        <f>+Tabulka148[[#This Row],[2021]]-Tabulka148[[#This Row],[2020]]</f>
        <v>0.40</v>
      </c>
      <c r="H11" s="39" t="s">
        <v>30</v>
      </c>
      <c r="I11" s="29">
        <v>1</v>
      </c>
      <c r="J11" s="29">
        <f>+Tabulka148[[#This Row],[2022]]-Tabulka148[[#This Row],[2021]]</f>
        <v>0.19999999999999996</v>
      </c>
      <c r="K11" s="45" t="s">
        <v>30</v>
      </c>
    </row>
    <row r="12" spans="1:11" s="5" customFormat="1" ht="15">
      <c r="A12" s="11" t="s">
        <v>6</v>
      </c>
      <c r="B12" s="9">
        <v>54.20</v>
      </c>
      <c r="C12" s="26">
        <v>50.10</v>
      </c>
      <c r="D12" s="28">
        <f>+Tabulka148[[#This Row],[2020]]-Tabulka148[[#This Row],[2019]]</f>
        <v>-4.1000000000000014</v>
      </c>
      <c r="E12" s="80">
        <f>+Tabulka148[[#This Row],[2020]]/Tabulka148[[#This Row],[2019]]-1</f>
        <v>-0.07564575645756455</v>
      </c>
      <c r="F12" s="29">
        <v>56.30</v>
      </c>
      <c r="G12" s="29">
        <f>+Tabulka148[[#This Row],[2021]]-Tabulka148[[#This Row],[2020]]</f>
        <v>6.1999999999999957</v>
      </c>
      <c r="H12" s="38">
        <f>+Tabulka148[[#This Row],[2021]]/Tabulka148[[#This Row],[2020]]-1</f>
        <v>0.12375249500997998</v>
      </c>
      <c r="I12" s="29">
        <v>58.60</v>
      </c>
      <c r="J12" s="29">
        <f>+Tabulka148[[#This Row],[2022]]-Tabulka148[[#This Row],[2021]]</f>
        <v>2.3000000000000043</v>
      </c>
      <c r="K12" s="44">
        <f>+Tabulka148[[#This Row],[2022]]/Tabulka148[[#This Row],[2021]]-1</f>
        <v>0.040852575488454779</v>
      </c>
    </row>
    <row r="13" spans="1:11" s="5" customFormat="1" ht="15">
      <c r="A13" s="6" t="s">
        <v>7</v>
      </c>
      <c r="B13" s="4">
        <v>10.934732143989999</v>
      </c>
      <c r="C13" s="16">
        <v>11.10</v>
      </c>
      <c r="D13" s="27">
        <f>+Tabulka148[[#This Row],[2020]]-Tabulka148[[#This Row],[2019]]</f>
        <v>0.16526785601000071</v>
      </c>
      <c r="E13" s="42">
        <f>+Tabulka148[[#This Row],[2020]]/Tabulka148[[#This Row],[2019]]-1</f>
        <v>0.01511402875111445</v>
      </c>
      <c r="F13" s="27">
        <v>11.30</v>
      </c>
      <c r="G13" s="27">
        <f>+Tabulka148[[#This Row],[2021]]-Tabulka148[[#This Row],[2020]]</f>
        <v>0.20000000000000107</v>
      </c>
      <c r="H13" s="42">
        <f>+Tabulka148[[#This Row],[2021]]/Tabulka148[[#This Row],[2020]]-1</f>
        <v>0.018018018018018056</v>
      </c>
      <c r="I13" s="27">
        <v>11.50</v>
      </c>
      <c r="J13" s="27">
        <f>+Tabulka148[[#This Row],[2022]]-Tabulka148[[#This Row],[2021]]</f>
        <v>0.19999999999999929</v>
      </c>
      <c r="K13" s="43">
        <f>+Tabulka148[[#This Row],[2022]]/Tabulka148[[#This Row],[2021]]-1</f>
        <v>0.017699115044247815</v>
      </c>
    </row>
    <row r="14" spans="1:11" s="5" customFormat="1" ht="15">
      <c r="A14" s="6" t="s">
        <v>8</v>
      </c>
      <c r="B14" s="4">
        <v>8.8733256099200002</v>
      </c>
      <c r="C14" s="16">
        <v>7.70</v>
      </c>
      <c r="D14" s="27">
        <f>+Tabulka148[[#This Row],[2020]]-Tabulka148[[#This Row],[2019]]</f>
        <v>-1.17332560992</v>
      </c>
      <c r="E14" s="79">
        <f>+Tabulka148[[#This Row],[2020]]/Tabulka148[[#This Row],[2019]]-1</f>
        <v>-0.13223064964597619</v>
      </c>
      <c r="F14" s="27">
        <v>8.10</v>
      </c>
      <c r="G14" s="27">
        <f>+Tabulka148[[#This Row],[2021]]-Tabulka148[[#This Row],[2020]]</f>
        <v>0.39999999999999947</v>
      </c>
      <c r="H14" s="42">
        <f>+Tabulka148[[#This Row],[2021]]/Tabulka148[[#This Row],[2020]]-1</f>
        <v>0.051948051948051965</v>
      </c>
      <c r="I14" s="27">
        <v>8.8000000000000007</v>
      </c>
      <c r="J14" s="27">
        <f>+Tabulka148[[#This Row],[2022]]-Tabulka148[[#This Row],[2021]]</f>
        <v>0.70000000000000107</v>
      </c>
      <c r="K14" s="43">
        <f>+Tabulka148[[#This Row],[2022]]/Tabulka148[[#This Row],[2021]]-1</f>
        <v>0.086419753086419915</v>
      </c>
    </row>
    <row r="15" spans="1:11" s="5" customFormat="1" ht="15">
      <c r="A15" s="12" t="s">
        <v>9</v>
      </c>
      <c r="B15" s="4">
        <v>3.42653138425</v>
      </c>
      <c r="C15" s="16">
        <v>2.80</v>
      </c>
      <c r="D15" s="27">
        <f>+Tabulka148[[#This Row],[2020]]-Tabulka148[[#This Row],[2019]]</f>
        <v>-0.62653138425000021</v>
      </c>
      <c r="E15" s="79">
        <f>+Tabulka148[[#This Row],[2020]]/Tabulka148[[#This Row],[2019]]-1</f>
        <v>-0.18284711680442867</v>
      </c>
      <c r="F15" s="27">
        <v>3</v>
      </c>
      <c r="G15" s="27">
        <f>+Tabulka148[[#This Row],[2021]]-Tabulka148[[#This Row],[2020]]</f>
        <v>0.20000000000000018</v>
      </c>
      <c r="H15" s="42">
        <f>+Tabulka148[[#This Row],[2021]]/Tabulka148[[#This Row],[2020]]-1</f>
        <v>0.071428571428571397</v>
      </c>
      <c r="I15" s="27">
        <v>3.40</v>
      </c>
      <c r="J15" s="27">
        <f>+Tabulka148[[#This Row],[2022]]-Tabulka148[[#This Row],[2021]]</f>
        <v>0.39999999999999991</v>
      </c>
      <c r="K15" s="43">
        <f>+Tabulka148[[#This Row],[2022]]/Tabulka148[[#This Row],[2021]]-1</f>
        <v>0.1333333333333333</v>
      </c>
    </row>
    <row r="16" spans="1:11" ht="15">
      <c r="A16" s="12" t="s">
        <v>11</v>
      </c>
      <c r="B16" s="4">
        <v>4.84</v>
      </c>
      <c r="C16" s="16">
        <v>4.8899999999999997</v>
      </c>
      <c r="D16" s="27">
        <f>+Tabulka148[[#This Row],[2020]]-Tabulka148[[#This Row],[2019]]</f>
        <v>0.049999999999999822</v>
      </c>
      <c r="E16" s="79">
        <f>+Tabulka148[[#This Row],[2020]]/Tabulka148[[#This Row],[2019]]-1</f>
        <v>0.010330578512396604</v>
      </c>
      <c r="F16" s="27">
        <v>4.7300000000000004</v>
      </c>
      <c r="G16" s="27">
        <f>+Tabulka148[[#This Row],[2021]]-Tabulka148[[#This Row],[2020]]</f>
        <v>-0.15999999999999925</v>
      </c>
      <c r="H16" s="42">
        <f>+Tabulka148[[#This Row],[2021]]/Tabulka148[[#This Row],[2020]]-1</f>
        <v>-0.032719836400817881</v>
      </c>
      <c r="I16" s="27">
        <v>4.66</v>
      </c>
      <c r="J16" s="27">
        <f>+Tabulka148[[#This Row],[2022]]-Tabulka148[[#This Row],[2021]]</f>
        <v>-0.070000000000000284</v>
      </c>
      <c r="K16" s="43">
        <f>+Tabulka148[[#This Row],[2022]]/Tabulka148[[#This Row],[2021]]-1</f>
        <v>-0.014799154334038112</v>
      </c>
    </row>
    <row r="17" spans="1:11" ht="15">
      <c r="A17" s="40" t="s">
        <v>12</v>
      </c>
      <c r="B17" s="46">
        <f>+B5+B6+B9+B13+B14+B15+B16</f>
        <v>241.07220931266002</v>
      </c>
      <c r="C17" s="104">
        <f>+C5+C6+C9+C13+C14+C15+C16</f>
        <v>220.59</v>
      </c>
      <c r="D17" s="104">
        <f>+D5+D6+D9+D13+D14+D15+D16</f>
        <v>-20.482209312660004</v>
      </c>
      <c r="E17" s="106">
        <f>+Tabulka148[[#Totals],[2020]]/Tabulka148[[#Totals],[2019]]-1</f>
        <v>-0.084962963466666097</v>
      </c>
      <c r="F17" s="48">
        <f>+F5+F6+F9+F13+F14+F15+F16</f>
        <v>232.92999999999998</v>
      </c>
      <c r="G17" s="109">
        <f>+Tabulka148[[#Totals],[2021]]-Tabulka148[[#Totals],[2020]]</f>
        <v>12.339999999999975</v>
      </c>
      <c r="H17" s="90">
        <f>+Tabulka148[[#Totals],[2021]]/Tabulka148[[#Totals],[2020]]-1</f>
        <v>0.055940885806246676</v>
      </c>
      <c r="I17" s="48">
        <f>+I5+I6+I9+I13+I14+I15+I16</f>
        <v>245.56</v>
      </c>
      <c r="J17" s="93">
        <f>+J5+J6+J9+J13+J14+J15+J16</f>
        <v>12.629999999999992</v>
      </c>
      <c r="K17" s="94">
        <f>+Tabulka148[[#Totals],[2022]]/Tabulka148[[#Totals],[2021]]-1</f>
        <v>0.054222298544627234</v>
      </c>
    </row>
    <row r="18" spans="1:11" ht="15.75" thickBot="1">
      <c r="A18" s="77" t="s">
        <v>47</v>
      </c>
      <c r="B18" s="102">
        <f>+B5+B7+B9</f>
        <v>205.30</v>
      </c>
      <c r="C18" s="103">
        <f t="shared" si="0" ref="C18:J18">+C5+C7+C9</f>
        <v>186.30</v>
      </c>
      <c r="D18" s="103">
        <f t="shared" si="0"/>
        <v>-19</v>
      </c>
      <c r="E18" s="107">
        <f>+C18/B18-1</f>
        <v>-0.092547491475888921</v>
      </c>
      <c r="F18" s="89">
        <f t="shared" si="0"/>
        <v>197.79999999999998</v>
      </c>
      <c r="G18" s="91">
        <f t="shared" si="0"/>
        <v>11.499999999999996</v>
      </c>
      <c r="H18" s="92">
        <f>+F18/C18-1</f>
        <v>0.061728395061728225</v>
      </c>
      <c r="I18" s="89">
        <f t="shared" si="0"/>
        <v>209</v>
      </c>
      <c r="J18" s="91">
        <f t="shared" si="0"/>
        <v>11.20</v>
      </c>
      <c r="K18" s="95">
        <f>+I18/F18-1</f>
        <v>0.056622851365015325</v>
      </c>
    </row>
    <row r="19" spans="1:11" s="14" customFormat="1" ht="15.75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5" customFormat="1" ht="15">
      <c r="A20" s="13" t="s">
        <v>18</v>
      </c>
      <c r="B20" s="15" t="s">
        <v>15</v>
      </c>
      <c r="C20" s="15" t="s">
        <v>16</v>
      </c>
      <c r="D20" s="15" t="s">
        <v>22</v>
      </c>
      <c r="E20" s="52" t="s">
        <v>23</v>
      </c>
      <c r="F20" s="17" t="s">
        <v>21</v>
      </c>
      <c r="G20" s="17" t="s">
        <v>24</v>
      </c>
      <c r="H20" s="30" t="s">
        <v>25</v>
      </c>
      <c r="I20" s="17" t="s">
        <v>26</v>
      </c>
      <c r="J20" s="17" t="s">
        <v>27</v>
      </c>
      <c r="K20" s="17" t="s">
        <v>28</v>
      </c>
    </row>
    <row r="21" spans="1:11" s="5" customFormat="1" ht="15">
      <c r="A21" s="6" t="s">
        <v>44</v>
      </c>
      <c r="B21" s="4">
        <v>38.50</v>
      </c>
      <c r="C21" s="7">
        <v>37.50</v>
      </c>
      <c r="D21" s="27">
        <f>+Tabulka1359[[#This Row],[2020]]-Tabulka1359[[#This Row],[2019]]</f>
        <v>-1</v>
      </c>
      <c r="E21" s="79">
        <f>+Tabulka1359[[#This Row],[2020]]/Tabulka1359[[#This Row],[2019]]-1</f>
        <v>-0.025974025974025983</v>
      </c>
      <c r="F21" s="16">
        <v>39.50</v>
      </c>
      <c r="G21" s="16">
        <f>+Tabulka1359[[#This Row],[2021]]-Tabulka1359[[#This Row],[2020]]</f>
        <v>2</v>
      </c>
      <c r="H21" s="42">
        <f>+Tabulka1359[[#This Row],[2021]]/Tabulka1359[[#This Row],[2020]]-1</f>
        <v>0.053333333333333233</v>
      </c>
      <c r="I21" s="7">
        <v>41.30</v>
      </c>
      <c r="J21" s="16">
        <f>+Tabulka1359[[#This Row],[2022]]-Tabulka1359[[#This Row],[2021]]</f>
        <v>1.7999999999999972</v>
      </c>
      <c r="K21" s="43">
        <f>+Tabulka1359[[#This Row],[2022]]/Tabulka1359[[#This Row],[2021]]-1</f>
        <v>0.045569620253164578</v>
      </c>
    </row>
    <row r="22" spans="1:11" s="5" customFormat="1" ht="15">
      <c r="A22" s="6" t="s">
        <v>1</v>
      </c>
      <c r="B22" s="4">
        <v>16.579752200000001</v>
      </c>
      <c r="C22" s="7">
        <v>12.40</v>
      </c>
      <c r="D22" s="27">
        <f>+Tabulka1359[[#This Row],[2020]]-Tabulka1359[[#This Row],[2019]]</f>
        <v>-4.1797522000000011</v>
      </c>
      <c r="E22" s="79">
        <f>+Tabulka1359[[#This Row],[2020]]/Tabulka1359[[#This Row],[2019]]-1</f>
        <v>-0.25209979917552694</v>
      </c>
      <c r="F22" s="16">
        <v>12.10</v>
      </c>
      <c r="G22" s="16">
        <f>+Tabulka1359[[#This Row],[2021]]-Tabulka1359[[#This Row],[2020]]</f>
        <v>-0.30000000000000071</v>
      </c>
      <c r="H22" s="42">
        <f>+Tabulka1359[[#This Row],[2021]]/Tabulka1359[[#This Row],[2020]]-1</f>
        <v>-0.024193548387096864</v>
      </c>
      <c r="I22" s="7">
        <v>13.60</v>
      </c>
      <c r="J22" s="16">
        <f>+Tabulka1359[[#This Row],[2022]]-Tabulka1359[[#This Row],[2021]]</f>
        <v>1.50</v>
      </c>
      <c r="K22" s="43">
        <f>+Tabulka1359[[#This Row],[2022]]/Tabulka1359[[#This Row],[2021]]-1</f>
        <v>0.12396694214876036</v>
      </c>
    </row>
    <row r="23" spans="1:11" s="5" customFormat="1" ht="15">
      <c r="A23" s="8" t="s">
        <v>45</v>
      </c>
      <c r="B23" s="9">
        <v>16.30</v>
      </c>
      <c r="C23" s="10">
        <v>12.10</v>
      </c>
      <c r="D23" s="28">
        <f>+Tabulka1359[[#This Row],[2020]]-Tabulka1359[[#This Row],[2019]]</f>
        <v>-4.2000000000000011</v>
      </c>
      <c r="E23" s="80">
        <f>+Tabulka1359[[#This Row],[2020]]/Tabulka1359[[#This Row],[2019]]-1</f>
        <v>-0.25766871165644178</v>
      </c>
      <c r="F23" s="36">
        <v>11.80</v>
      </c>
      <c r="G23" s="36">
        <f>+Tabulka1359[[#This Row],[2021]]-Tabulka1359[[#This Row],[2020]]</f>
        <v>-0.29999999999999893</v>
      </c>
      <c r="H23" s="38">
        <f>+Tabulka1359[[#This Row],[2021]]/Tabulka1359[[#This Row],[2020]]-1</f>
        <v>-0.024793388429751984</v>
      </c>
      <c r="I23" s="5">
        <v>13.30</v>
      </c>
      <c r="J23" s="36">
        <f>+Tabulka1359[[#This Row],[2022]]-Tabulka1359[[#This Row],[2021]]</f>
        <v>1.50</v>
      </c>
      <c r="K23" s="44">
        <f>+Tabulka1359[[#This Row],[2022]]/Tabulka1359[[#This Row],[2021]]-1</f>
        <v>0.12711864406779649</v>
      </c>
    </row>
    <row r="24" spans="1:11" s="5" customFormat="1" ht="15">
      <c r="A24" s="8" t="s">
        <v>3</v>
      </c>
      <c r="B24" s="9">
        <v>0.27975220000000001</v>
      </c>
      <c r="C24" s="10">
        <v>0.30</v>
      </c>
      <c r="D24" s="28">
        <f>+Tabulka1359[[#This Row],[2020]]-Tabulka1359[[#This Row],[2019]]</f>
        <v>0.020247799999999982</v>
      </c>
      <c r="E24" s="81">
        <f>+Tabulka1359[[#This Row],[2020]]/Tabulka1359[[#This Row],[2019]]-1</f>
        <v>0.072377625627251474</v>
      </c>
      <c r="F24" s="36">
        <v>0.30</v>
      </c>
      <c r="G24" s="36">
        <f>+Tabulka1359[[#This Row],[2021]]-Tabulka1359[[#This Row],[2020]]</f>
        <v>0</v>
      </c>
      <c r="H24" s="39" t="s">
        <v>30</v>
      </c>
      <c r="I24" s="5">
        <v>0.30</v>
      </c>
      <c r="J24" s="36">
        <f>+Tabulka1359[[#This Row],[2022]]-Tabulka1359[[#This Row],[2021]]</f>
        <v>0</v>
      </c>
      <c r="K24" s="45" t="s">
        <v>30</v>
      </c>
    </row>
    <row r="25" spans="1:11" s="5" customFormat="1" ht="15">
      <c r="A25" s="6" t="s">
        <v>46</v>
      </c>
      <c r="B25" s="4">
        <v>21.60</v>
      </c>
      <c r="C25" s="16">
        <v>19.70</v>
      </c>
      <c r="D25" s="27">
        <f>+Tabulka1359[[#This Row],[2020]]-Tabulka1359[[#This Row],[2019]]</f>
        <v>-1.9000000000000021</v>
      </c>
      <c r="E25" s="79">
        <f>+Tabulka1359[[#This Row],[2020]]/Tabulka1359[[#This Row],[2019]]-1</f>
        <v>-0.087962962962963021</v>
      </c>
      <c r="F25" s="16">
        <v>22.20</v>
      </c>
      <c r="G25" s="16">
        <f>+Tabulka1359[[#This Row],[2021]]-Tabulka1359[[#This Row],[2020]]</f>
        <v>2.50</v>
      </c>
      <c r="H25" s="42">
        <f>+Tabulka1359[[#This Row],[2021]]/Tabulka1359[[#This Row],[2020]]-1</f>
        <v>0.12690355329949243</v>
      </c>
      <c r="I25" s="7">
        <v>23.10</v>
      </c>
      <c r="J25" s="16">
        <f>+Tabulka1359[[#This Row],[2022]]-Tabulka1359[[#This Row],[2021]]</f>
        <v>0.90000000000000213</v>
      </c>
      <c r="K25" s="43">
        <f>+Tabulka1359[[#This Row],[2022]]/Tabulka1359[[#This Row],[2021]]-1</f>
        <v>0.040540540540540571</v>
      </c>
    </row>
    <row r="26" spans="1:11" s="5" customFormat="1" ht="15">
      <c r="A26" s="8" t="s">
        <v>5</v>
      </c>
      <c r="B26" s="9">
        <v>1.80</v>
      </c>
      <c r="C26" s="10">
        <v>1.80</v>
      </c>
      <c r="D26" s="29">
        <f>+Tabulka1359[[#This Row],[2020]]-Tabulka1359[[#This Row],[2019]]</f>
        <v>0</v>
      </c>
      <c r="E26" s="82" t="s">
        <v>30</v>
      </c>
      <c r="F26" s="36">
        <v>1.90</v>
      </c>
      <c r="G26" s="36">
        <f>+Tabulka1359[[#This Row],[2021]]-Tabulka1359[[#This Row],[2020]]</f>
        <v>0.099999999999999867</v>
      </c>
      <c r="H26" s="38">
        <f>+Tabulka1359[[#This Row],[2021]]/Tabulka1359[[#This Row],[2020]]-1</f>
        <v>0.05555555555555558</v>
      </c>
      <c r="I26" s="5">
        <v>1.90</v>
      </c>
      <c r="J26" s="36">
        <f>+Tabulka1359[[#This Row],[2022]]-Tabulka1359[[#This Row],[2021]]</f>
        <v>0</v>
      </c>
      <c r="K26" s="45" t="s">
        <v>30</v>
      </c>
    </row>
    <row r="27" spans="1:11" s="5" customFormat="1" ht="15">
      <c r="A27" s="11" t="s">
        <v>29</v>
      </c>
      <c r="B27" s="9">
        <v>0.50</v>
      </c>
      <c r="C27" s="26">
        <v>0.10</v>
      </c>
      <c r="D27" s="29">
        <f>+Tabulka1359[[#This Row],[2020]]-Tabulka1359[[#This Row],[2019]]</f>
        <v>-0.40</v>
      </c>
      <c r="E27" s="83">
        <f>+Tabulka1359[[#This Row],[2020]]/Tabulka1359[[#This Row],[2019]]-1</f>
        <v>-0.80</v>
      </c>
      <c r="F27" s="36">
        <v>0.30</v>
      </c>
      <c r="G27" s="36">
        <f>+Tabulka1359[[#This Row],[2021]]-Tabulka1359[[#This Row],[2020]]</f>
        <v>0.19999999999999998</v>
      </c>
      <c r="H27" s="39" t="s">
        <v>30</v>
      </c>
      <c r="I27" s="5">
        <v>0.40</v>
      </c>
      <c r="J27" s="36">
        <f>+Tabulka1359[[#This Row],[2022]]-Tabulka1359[[#This Row],[2021]]</f>
        <v>0.10000000000000003</v>
      </c>
      <c r="K27" s="45" t="s">
        <v>30</v>
      </c>
    </row>
    <row r="28" spans="1:11" s="5" customFormat="1" ht="15">
      <c r="A28" s="11" t="s">
        <v>6</v>
      </c>
      <c r="B28" s="9">
        <v>19.30</v>
      </c>
      <c r="C28" s="10">
        <v>17.80</v>
      </c>
      <c r="D28" s="29">
        <f>+Tabulka1359[[#This Row],[2020]]-Tabulka1359[[#This Row],[2019]]</f>
        <v>-1.50</v>
      </c>
      <c r="E28" s="83">
        <f>+Tabulka1359[[#This Row],[2020]]/Tabulka1359[[#This Row],[2019]]-1</f>
        <v>-0.077720207253885953</v>
      </c>
      <c r="F28" s="36">
        <v>20</v>
      </c>
      <c r="G28" s="36">
        <f>+Tabulka1359[[#This Row],[2021]]-Tabulka1359[[#This Row],[2020]]</f>
        <v>2.1999999999999993</v>
      </c>
      <c r="H28" s="38">
        <f>+Tabulka1359[[#This Row],[2021]]/Tabulka1359[[#This Row],[2020]]-1</f>
        <v>0.12359550561797739</v>
      </c>
      <c r="I28" s="5">
        <v>20.80</v>
      </c>
      <c r="J28" s="36">
        <f>+Tabulka1359[[#This Row],[2022]]-Tabulka1359[[#This Row],[2021]]</f>
        <v>0.80000000000000071</v>
      </c>
      <c r="K28" s="44">
        <f>+Tabulka1359[[#This Row],[2022]]/Tabulka1359[[#This Row],[2021]]-1</f>
        <v>0.040000000000000036</v>
      </c>
    </row>
    <row r="29" spans="1:11" s="5" customFormat="1" ht="15">
      <c r="A29" s="12" t="s">
        <v>9</v>
      </c>
      <c r="B29" s="4">
        <v>0.10</v>
      </c>
      <c r="C29" s="7">
        <v>0.10</v>
      </c>
      <c r="D29" s="27">
        <f>+Tabulka1359[[#This Row],[2020]]-Tabulka1359[[#This Row],[2019]]</f>
        <v>0</v>
      </c>
      <c r="E29" s="84" t="s">
        <v>30</v>
      </c>
      <c r="F29" s="16">
        <v>0.10</v>
      </c>
      <c r="G29" s="16">
        <f>+Tabulka1359[[#This Row],[2021]]-Tabulka1359[[#This Row],[2020]]</f>
        <v>0</v>
      </c>
      <c r="H29" s="84" t="s">
        <v>30</v>
      </c>
      <c r="I29" s="7">
        <v>0.10</v>
      </c>
      <c r="J29" s="16">
        <f>+Tabulka1359[[#This Row],[2022]]-Tabulka1359[[#This Row],[2021]]</f>
        <v>0</v>
      </c>
      <c r="K29" s="88" t="s">
        <v>30</v>
      </c>
    </row>
    <row r="30" spans="1:11" s="5" customFormat="1" ht="15">
      <c r="A30" s="40" t="s">
        <v>12</v>
      </c>
      <c r="B30" s="46">
        <f>+B21+B22+B25+B29</f>
        <v>76.77975219999999</v>
      </c>
      <c r="C30" s="104">
        <f>+C21+C22+C25+C29</f>
        <v>69.699999999999989</v>
      </c>
      <c r="D30" s="104">
        <f>+D21+D22+D25+D29</f>
        <v>-7.0797522000000033</v>
      </c>
      <c r="E30" s="106">
        <f>+Tabulka1359[[#Totals],[2020]]/Tabulka1359[[#Totals],[2019]]-1</f>
        <v>-0.092208583606238848</v>
      </c>
      <c r="F30" s="86">
        <f>+F21+F22+F25+F29</f>
        <v>73.899999999999991</v>
      </c>
      <c r="G30" s="96">
        <f>+Tabulka1359[[#Totals],[2021]]-Tabulka1359[[#Totals],[2020]]</f>
        <v>4.2000000000000028</v>
      </c>
      <c r="H30" s="97">
        <f>+Tabulka1359[[#Totals],[2021]]/Tabulka1359[[#Totals],[2020]]-1</f>
        <v>0.060258249641319983</v>
      </c>
      <c r="I30" s="87">
        <f>+I21+I22+I25+I29</f>
        <v>78.099999999999994</v>
      </c>
      <c r="J30" s="96">
        <f>+Tabulka1359[[#Totals],[2022]]-Tabulka1359[[#Totals],[2021]]</f>
        <v>4.2000000000000028</v>
      </c>
      <c r="K30" s="98">
        <f>+Tabulka1359[[#Totals],[2022]]/Tabulka1359[[#Totals],[2021]]-1</f>
        <v>0.056833558863328859</v>
      </c>
    </row>
    <row r="31" spans="1:11" s="5" customFormat="1" ht="15.75" thickBot="1">
      <c r="A31" s="78" t="s">
        <v>47</v>
      </c>
      <c r="B31" s="110">
        <f>+B21+B23+B25</f>
        <v>76.400000000000006</v>
      </c>
      <c r="C31" s="105">
        <f>+C21+C23+C25</f>
        <v>69.30</v>
      </c>
      <c r="D31" s="105">
        <f>+D21+D23+D25</f>
        <v>-7.1000000000000032</v>
      </c>
      <c r="E31" s="108">
        <f>+C31/B31-1</f>
        <v>-0.092931937172774925</v>
      </c>
      <c r="F31" s="85">
        <f>+F21+F23+F25</f>
        <v>73.50</v>
      </c>
      <c r="G31" s="99">
        <f>+G21+G23+G25</f>
        <v>4.2000000000000011</v>
      </c>
      <c r="H31" s="100">
        <f>+F31/C31-1</f>
        <v>0.060606060606060552</v>
      </c>
      <c r="I31" s="85">
        <f>+I21+I23+I25</f>
        <v>77.699999999999989</v>
      </c>
      <c r="J31" s="99">
        <f>+J21+J23+J25</f>
        <v>4.1999999999999993</v>
      </c>
      <c r="K31" s="101">
        <f>+I31/F31-1</f>
        <v>0.05714285714285694</v>
      </c>
    </row>
    <row r="32" spans="6:11" ht="15.75" thickTop="1">
      <c r="F32" s="5"/>
      <c r="G32" s="5"/>
      <c r="H32" s="5"/>
      <c r="I32" s="5"/>
      <c r="J32" s="5"/>
      <c r="K32" s="5"/>
    </row>
  </sheetData>
  <mergeCells count="3">
    <mergeCell ref="C2:E2"/>
    <mergeCell ref="F2:H2"/>
    <mergeCell ref="I2:K2"/>
  </mergeCells>
  <pageMargins left="0.708661417322835" right="0.708661417322835" top="0.78740157480315" bottom="0.78740157480315" header="0.31496062992126" footer="0.31496062992126"/>
  <pageSetup orientation="landscape" paperSize="9" scale="92" r:id="rId3"/>
  <tableParts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1"/>
  <sheetViews>
    <sheetView showGridLines="0" workbookViewId="0" topLeftCell="A1">
      <selection pane="topLeft" activeCell="C22" sqref="C22"/>
    </sheetView>
  </sheetViews>
  <sheetFormatPr defaultColWidth="8.85546875" defaultRowHeight="15"/>
  <cols>
    <col min="1" max="1" width="33.8571428571429" style="1" customWidth="1"/>
    <col min="2" max="4" width="11.7142857142857" style="1" customWidth="1"/>
    <col min="5" max="5" width="13.1428571428571" style="1" customWidth="1"/>
    <col min="6" max="6" width="13" style="1" customWidth="1"/>
    <col min="7" max="16384" width="8.85714285714286" style="1"/>
  </cols>
  <sheetData>
    <row r="1" s="3" customFormat="1" ht="25.9" customHeight="1">
      <c r="A1" s="2" t="s">
        <v>10</v>
      </c>
    </row>
    <row r="2" spans="1:5" s="3" customFormat="1" ht="28.15" customHeight="1">
      <c r="A2" s="2" t="s">
        <v>49</v>
      </c>
      <c r="B2" s="2"/>
      <c r="C2" s="2"/>
      <c r="D2" s="114"/>
      <c r="E2" s="114"/>
    </row>
    <row r="3" spans="1:6" s="14" customFormat="1" ht="15">
      <c r="A3" s="13" t="s">
        <v>19</v>
      </c>
      <c r="B3" s="55" t="s">
        <v>31</v>
      </c>
      <c r="C3" s="55" t="s">
        <v>32</v>
      </c>
      <c r="D3" s="55" t="s">
        <v>48</v>
      </c>
      <c r="E3" s="17" t="s">
        <v>50</v>
      </c>
      <c r="F3" s="17" t="s">
        <v>51</v>
      </c>
    </row>
    <row r="4" spans="1:6" s="5" customFormat="1" ht="15">
      <c r="A4" s="6" t="s">
        <v>0</v>
      </c>
      <c r="B4" s="4">
        <f>+Tabulka1[[#This Row],[2020]]</f>
        <v>101.40</v>
      </c>
      <c r="C4" s="16">
        <f>'8-2020'!C5</f>
        <v>99.20</v>
      </c>
      <c r="D4" s="16">
        <f>'9-2020'!C5</f>
        <v>99</v>
      </c>
      <c r="E4" s="27">
        <f>+Tabulka16[[#This Row],[9/2020]]-Tabulka16[[#This Row],[6/2020]]</f>
        <v>-2.4000000000000057</v>
      </c>
      <c r="F4" s="59">
        <f>+Tabulka16[[#This Row],[9/2020]]/Tabulka16[[#This Row],[6/2020]]-1</f>
        <v>-0.023668639053254448</v>
      </c>
    </row>
    <row r="5" spans="1:6" s="5" customFormat="1" ht="15">
      <c r="A5" s="6" t="s">
        <v>1</v>
      </c>
      <c r="B5" s="4">
        <f>+Tabulka1[[#This Row],[2020]]</f>
        <v>35</v>
      </c>
      <c r="C5" s="16">
        <f>'8-2020'!C6</f>
        <v>37.10</v>
      </c>
      <c r="D5" s="16">
        <f>'9-2020'!C6</f>
        <v>39.90</v>
      </c>
      <c r="E5" s="27">
        <f>+Tabulka16[[#This Row],[9/2020]]-Tabulka16[[#This Row],[6/2020]]</f>
        <v>4.8999999999999986</v>
      </c>
      <c r="F5" s="59">
        <f>+Tabulka16[[#This Row],[9/2020]]/Tabulka16[[#This Row],[6/2020]]-1</f>
        <v>0.1399999999999999</v>
      </c>
    </row>
    <row r="6" spans="1:6" s="5" customFormat="1" ht="15">
      <c r="A6" s="8" t="s">
        <v>2</v>
      </c>
      <c r="B6" s="9">
        <f>+Tabulka1[[#This Row],[2020]]</f>
        <v>27.20</v>
      </c>
      <c r="C6" s="26">
        <f>'8-2020'!C7</f>
        <v>29.30</v>
      </c>
      <c r="D6" s="26">
        <f>'9-2020'!C7</f>
        <v>32.10</v>
      </c>
      <c r="E6" s="28">
        <f>+Tabulka16[[#This Row],[9/2020]]-Tabulka16[[#This Row],[6/2020]]</f>
        <v>4.9000000000000021</v>
      </c>
      <c r="F6" s="60">
        <f>+Tabulka16[[#This Row],[9/2020]]/Tabulka16[[#This Row],[6/2020]]-1</f>
        <v>0.18014705882352944</v>
      </c>
    </row>
    <row r="7" spans="1:6" s="5" customFormat="1" ht="15">
      <c r="A7" s="8" t="s">
        <v>3</v>
      </c>
      <c r="B7" s="9">
        <f>+Tabulka1[[#This Row],[2020]]</f>
        <v>7.80</v>
      </c>
      <c r="C7" s="26">
        <f>'8-2020'!C8</f>
        <v>7.80</v>
      </c>
      <c r="D7" s="26">
        <f>'9-2020'!C8</f>
        <v>7.80</v>
      </c>
      <c r="E7" s="28">
        <f>+Tabulka16[[#This Row],[9/2020]]-Tabulka16[[#This Row],[6/2020]]</f>
        <v>0</v>
      </c>
      <c r="F7" s="61">
        <f>+Tabulka16[[#This Row],[9/2020]]/Tabulka16[[#This Row],[6/2020]]-1</f>
        <v>0</v>
      </c>
    </row>
    <row r="8" spans="1:6" s="5" customFormat="1" ht="15">
      <c r="A8" s="6" t="s">
        <v>4</v>
      </c>
      <c r="B8" s="4">
        <f>+Tabulka1[[#This Row],[2020]]</f>
        <v>49.50</v>
      </c>
      <c r="C8" s="16">
        <f>'8-2020'!C9</f>
        <v>53</v>
      </c>
      <c r="D8" s="16">
        <f>'9-2020'!C9</f>
        <v>55.20</v>
      </c>
      <c r="E8" s="27">
        <f>+Tabulka16[[#This Row],[9/2020]]-Tabulka16[[#This Row],[6/2020]]</f>
        <v>5.7000000000000028</v>
      </c>
      <c r="F8" s="59">
        <f>+Tabulka16[[#This Row],[9/2020]]/Tabulka16[[#This Row],[6/2020]]-1</f>
        <v>0.11515151515151523</v>
      </c>
    </row>
    <row r="9" spans="1:6" s="5" customFormat="1" ht="15">
      <c r="A9" s="8" t="s">
        <v>5</v>
      </c>
      <c r="B9" s="9">
        <f>+Tabulka1[[#This Row],[2020]]</f>
        <v>2.90</v>
      </c>
      <c r="C9" s="26">
        <f>'8-2020'!C10</f>
        <v>4.70</v>
      </c>
      <c r="D9" s="26">
        <f>'9-2020'!C10</f>
        <v>4.70</v>
      </c>
      <c r="E9" s="28">
        <f>+Tabulka16[[#This Row],[9/2020]]-Tabulka16[[#This Row],[6/2020]]</f>
        <v>1.8000000000000003</v>
      </c>
      <c r="F9" s="60">
        <f>+Tabulka16[[#This Row],[9/2020]]/Tabulka16[[#This Row],[6/2020]]-1</f>
        <v>0.62068965517241392</v>
      </c>
    </row>
    <row r="10" spans="1:6" s="5" customFormat="1" ht="15">
      <c r="A10" s="11" t="s">
        <v>29</v>
      </c>
      <c r="B10" s="9">
        <f>+Tabulka1[[#This Row],[2020]]</f>
        <v>0</v>
      </c>
      <c r="C10" s="26">
        <f>'8-2020'!C11</f>
        <v>0</v>
      </c>
      <c r="D10" s="26">
        <f>'9-2020'!C11</f>
        <v>0.40</v>
      </c>
      <c r="E10" s="28">
        <f>+Tabulka16[[#This Row],[9/2020]]-Tabulka16[[#This Row],[6/2020]]</f>
        <v>0.40</v>
      </c>
      <c r="F10" s="61"/>
    </row>
    <row r="11" spans="1:6" s="5" customFormat="1" ht="15">
      <c r="A11" s="11" t="s">
        <v>6</v>
      </c>
      <c r="B11" s="9">
        <f>+Tabulka1[[#This Row],[2020]]</f>
        <v>46.60</v>
      </c>
      <c r="C11" s="26">
        <f>'8-2020'!C12</f>
        <v>48.30</v>
      </c>
      <c r="D11" s="26">
        <f>'9-2020'!C12</f>
        <v>50.10</v>
      </c>
      <c r="E11" s="28">
        <f>+Tabulka16[[#This Row],[9/2020]]-Tabulka16[[#This Row],[6/2020]]</f>
        <v>3.50</v>
      </c>
      <c r="F11" s="60">
        <f>+Tabulka16[[#This Row],[9/2020]]/Tabulka16[[#This Row],[6/2020]]-1</f>
        <v>0.07510729613733913</v>
      </c>
    </row>
    <row r="12" spans="1:6" s="5" customFormat="1" ht="15">
      <c r="A12" s="6" t="s">
        <v>7</v>
      </c>
      <c r="B12" s="4">
        <f>+Tabulka1[[#This Row],[2020]]</f>
        <v>11.10</v>
      </c>
      <c r="C12" s="16">
        <f>'8-2020'!C13</f>
        <v>11.10</v>
      </c>
      <c r="D12" s="16">
        <f>'9-2020'!C13</f>
        <v>11.10</v>
      </c>
      <c r="E12" s="27">
        <f>+Tabulka16[[#This Row],[9/2020]]-Tabulka16[[#This Row],[6/2020]]</f>
        <v>0</v>
      </c>
      <c r="F12" s="112" t="s">
        <v>30</v>
      </c>
    </row>
    <row r="13" spans="1:6" s="5" customFormat="1" ht="15">
      <c r="A13" s="6" t="s">
        <v>8</v>
      </c>
      <c r="B13" s="4">
        <f>+Tabulka1[[#This Row],[2020]]</f>
        <v>7.70</v>
      </c>
      <c r="C13" s="16">
        <f>'8-2020'!C14</f>
        <v>7.70</v>
      </c>
      <c r="D13" s="16">
        <f>'9-2020'!C14</f>
        <v>7.70</v>
      </c>
      <c r="E13" s="27">
        <f>+Tabulka16[[#This Row],[9/2020]]-Tabulka16[[#This Row],[6/2020]]</f>
        <v>0</v>
      </c>
      <c r="F13" s="112" t="s">
        <v>30</v>
      </c>
    </row>
    <row r="14" spans="1:6" s="5" customFormat="1" ht="15">
      <c r="A14" s="12" t="s">
        <v>9</v>
      </c>
      <c r="B14" s="4">
        <f>+Tabulka1[[#This Row],[2020]]</f>
        <v>2.80</v>
      </c>
      <c r="C14" s="16">
        <f>'8-2020'!C15</f>
        <v>2.80</v>
      </c>
      <c r="D14" s="16">
        <f>'9-2020'!C15</f>
        <v>2.80</v>
      </c>
      <c r="E14" s="27">
        <f>+Tabulka16[[#This Row],[9/2020]]-Tabulka16[[#This Row],[6/2020]]</f>
        <v>0</v>
      </c>
      <c r="F14" s="112" t="s">
        <v>30</v>
      </c>
    </row>
    <row r="15" spans="1:6" s="5" customFormat="1" ht="15">
      <c r="A15" s="12" t="s">
        <v>11</v>
      </c>
      <c r="B15" s="4">
        <f>+Tabulka1[[#This Row],[2020]]</f>
        <v>4.20</v>
      </c>
      <c r="C15" s="16">
        <f>'8-2020'!C16</f>
        <v>4.17</v>
      </c>
      <c r="D15" s="16">
        <f>'9-2020'!C16</f>
        <v>4.8899999999999997</v>
      </c>
      <c r="E15" s="27">
        <f>+Tabulka16[[#This Row],[9/2020]]-Tabulka16[[#This Row],[6/2020]]</f>
        <v>0.6899999999999995</v>
      </c>
      <c r="F15" s="59">
        <f>+Tabulka16[[#This Row],[9/2020]]/Tabulka16[[#This Row],[6/2020]]-1</f>
        <v>0.16428571428571415</v>
      </c>
    </row>
    <row r="16" spans="1:6" ht="15">
      <c r="A16" s="18" t="s">
        <v>12</v>
      </c>
      <c r="B16" s="19">
        <f>+B4+B5+B8+B12+B13+B14+B15</f>
        <v>211.70</v>
      </c>
      <c r="C16" s="19">
        <f>+C4+C5+C8+C12+C13+C14+C15</f>
        <v>215.07</v>
      </c>
      <c r="D16" s="19">
        <f>+D4+D5+D8+D12+D13+D14+D15</f>
        <v>220.59</v>
      </c>
      <c r="E16" s="64">
        <f>+Tabulka16[[#Totals],[9/2020]]-Tabulka16[[#Totals],[6/2020]]</f>
        <v>8.8900000000000148</v>
      </c>
      <c r="F16" s="111">
        <f>+Tabulka16[[#Totals],[9/2020]]/Tabulka16[[#Totals],[6/2020]]-1</f>
        <v>0.041993386868209859</v>
      </c>
    </row>
    <row r="17" spans="1:5" ht="15">
      <c r="A17" s="18"/>
      <c r="B17" s="19"/>
      <c r="C17" s="19"/>
      <c r="D17" s="19"/>
      <c r="E17" s="21"/>
    </row>
    <row r="19" spans="1:6" s="14" customFormat="1" ht="15">
      <c r="A19" s="13" t="s">
        <v>18</v>
      </c>
      <c r="B19" s="55" t="s">
        <v>31</v>
      </c>
      <c r="C19" s="55" t="s">
        <v>32</v>
      </c>
      <c r="D19" s="55" t="s">
        <v>48</v>
      </c>
      <c r="E19" s="17" t="s">
        <v>50</v>
      </c>
      <c r="F19" s="17" t="s">
        <v>51</v>
      </c>
    </row>
    <row r="20" spans="1:6" s="5" customFormat="1" ht="15">
      <c r="A20" s="6" t="s">
        <v>0</v>
      </c>
      <c r="B20" s="4">
        <f>Tabulka13[[#This Row],[2020]]</f>
        <v>38.40</v>
      </c>
      <c r="C20" s="16">
        <f>'8-2020'!C21</f>
        <v>37.50</v>
      </c>
      <c r="D20" s="16">
        <f>'9-2020'!C21</f>
        <v>37.50</v>
      </c>
      <c r="E20" s="27">
        <f>+Tabulka137[[#This Row],[9/2020]]-Tabulka137[[#This Row],[6/2020]]</f>
        <v>-0.89999999999999858</v>
      </c>
      <c r="F20" s="58">
        <f>+Tabulka137[[#This Row],[9/2020]]/Tabulka137[[#This Row],[6/2020]]-1</f>
        <v>-0.0234375</v>
      </c>
    </row>
    <row r="21" spans="1:6" s="5" customFormat="1" ht="15">
      <c r="A21" s="6" t="s">
        <v>1</v>
      </c>
      <c r="B21" s="4">
        <f>Tabulka13[[#This Row],[2020]]</f>
        <v>10.60</v>
      </c>
      <c r="C21" s="16">
        <f>'8-2020'!C22</f>
        <v>11.40</v>
      </c>
      <c r="D21" s="16">
        <f>'9-2020'!C22</f>
        <v>12.40</v>
      </c>
      <c r="E21" s="27">
        <f>+Tabulka137[[#This Row],[9/2020]]-Tabulka137[[#This Row],[6/2020]]</f>
        <v>1.8000000000000007</v>
      </c>
      <c r="F21" s="58">
        <f>+Tabulka137[[#This Row],[9/2020]]/Tabulka137[[#This Row],[6/2020]]-1</f>
        <v>0.16981132075471694</v>
      </c>
    </row>
    <row r="22" spans="1:6" s="5" customFormat="1" ht="15">
      <c r="A22" s="8" t="s">
        <v>2</v>
      </c>
      <c r="B22" s="9">
        <f>Tabulka13[[#This Row],[2020]]</f>
        <v>10.30</v>
      </c>
      <c r="C22" s="26">
        <f>'8-2020'!C23</f>
        <v>11.10</v>
      </c>
      <c r="D22" s="26">
        <f>'9-2020'!C23</f>
        <v>12.10</v>
      </c>
      <c r="E22" s="28">
        <f>+Tabulka137[[#This Row],[9/2020]]-Tabulka137[[#This Row],[6/2020]]</f>
        <v>1.7999999999999989</v>
      </c>
      <c r="F22" s="56">
        <f>+Tabulka137[[#This Row],[9/2020]]/Tabulka137[[#This Row],[6/2020]]-1</f>
        <v>0.17475728155339798</v>
      </c>
    </row>
    <row r="23" spans="1:6" s="5" customFormat="1" ht="15">
      <c r="A23" s="8" t="s">
        <v>3</v>
      </c>
      <c r="B23" s="9">
        <f>Tabulka13[[#This Row],[2020]]</f>
        <v>0.30</v>
      </c>
      <c r="C23" s="26">
        <f>'8-2020'!C24</f>
        <v>0.30</v>
      </c>
      <c r="D23" s="26">
        <f>'9-2020'!C24</f>
        <v>0.30</v>
      </c>
      <c r="E23" s="28">
        <f>+Tabulka137[[#This Row],[9/2020]]-Tabulka137[[#This Row],[6/2020]]</f>
        <v>0</v>
      </c>
      <c r="F23" s="57" t="s">
        <v>30</v>
      </c>
    </row>
    <row r="24" spans="1:6" s="5" customFormat="1" ht="15">
      <c r="A24" s="6" t="s">
        <v>4</v>
      </c>
      <c r="B24" s="4">
        <f>Tabulka13[[#This Row],[2020]]</f>
        <v>17.70</v>
      </c>
      <c r="C24" s="16">
        <f>'8-2020'!C25</f>
        <v>19</v>
      </c>
      <c r="D24" s="16">
        <f>'9-2020'!C25</f>
        <v>19.70</v>
      </c>
      <c r="E24" s="27">
        <f>+Tabulka137[[#This Row],[9/2020]]-Tabulka137[[#This Row],[6/2020]]</f>
        <v>2</v>
      </c>
      <c r="F24" s="58">
        <f>+Tabulka137[[#This Row],[9/2020]]/Tabulka137[[#This Row],[6/2020]]-1</f>
        <v>0.11299435028248594</v>
      </c>
    </row>
    <row r="25" spans="1:6" s="5" customFormat="1" ht="15">
      <c r="A25" s="8" t="s">
        <v>5</v>
      </c>
      <c r="B25" s="9">
        <f>Tabulka13[[#This Row],[2020]]</f>
        <v>1.1000000000000001</v>
      </c>
      <c r="C25" s="26">
        <f>'8-2020'!C26</f>
        <v>1.80</v>
      </c>
      <c r="D25" s="26">
        <f>'9-2020'!C26</f>
        <v>1.80</v>
      </c>
      <c r="E25" s="29">
        <f>+Tabulka137[[#This Row],[9/2020]]-Tabulka137[[#This Row],[6/2020]]</f>
        <v>0.70</v>
      </c>
      <c r="F25" s="62">
        <f>+Tabulka137[[#This Row],[9/2020]]/Tabulka137[[#This Row],[6/2020]]-1</f>
        <v>0.63636363636363624</v>
      </c>
    </row>
    <row r="26" spans="1:6" s="5" customFormat="1" ht="15">
      <c r="A26" s="11" t="s">
        <v>29</v>
      </c>
      <c r="B26" s="9">
        <f>Tabulka13[[#This Row],[2020]]</f>
        <v>0</v>
      </c>
      <c r="C26" s="26">
        <f>'8-2020'!C27</f>
        <v>0</v>
      </c>
      <c r="D26" s="26">
        <f>'9-2020'!C27</f>
        <v>0.10</v>
      </c>
      <c r="E26" s="29">
        <f>+Tabulka137[[#This Row],[9/2020]]-Tabulka137[[#This Row],[6/2020]]</f>
        <v>0.10</v>
      </c>
      <c r="F26" s="63" t="s">
        <v>30</v>
      </c>
    </row>
    <row r="27" spans="1:6" s="5" customFormat="1" ht="15">
      <c r="A27" s="11" t="s">
        <v>6</v>
      </c>
      <c r="B27" s="9">
        <f>Tabulka13[[#This Row],[2020]]</f>
        <v>16.60</v>
      </c>
      <c r="C27" s="26">
        <f>'8-2020'!C28</f>
        <v>17.20</v>
      </c>
      <c r="D27" s="26">
        <f>'9-2020'!C28</f>
        <v>17.80</v>
      </c>
      <c r="E27" s="29">
        <f>+Tabulka137[[#This Row],[9/2020]]-Tabulka137[[#This Row],[6/2020]]</f>
        <v>1.1999999999999993</v>
      </c>
      <c r="F27" s="62">
        <f>+Tabulka137[[#This Row],[9/2020]]/Tabulka137[[#This Row],[6/2020]]-1</f>
        <v>0.072289156626506035</v>
      </c>
    </row>
    <row r="28" spans="1:6" s="5" customFormat="1" ht="15">
      <c r="A28" s="12" t="s">
        <v>9</v>
      </c>
      <c r="B28" s="4">
        <f>Tabulka13[[#This Row],[2020]]</f>
        <v>0.10</v>
      </c>
      <c r="C28" s="16">
        <f>'8-2020'!C29</f>
        <v>0.10</v>
      </c>
      <c r="D28" s="16">
        <f>'9-2020'!C29</f>
        <v>0.10</v>
      </c>
      <c r="E28" s="27">
        <f>+Tabulka137[[#This Row],[9/2020]]-Tabulka137[[#This Row],[6/2020]]</f>
        <v>0</v>
      </c>
      <c r="F28" s="63" t="s">
        <v>30</v>
      </c>
    </row>
    <row r="29" spans="1:6" s="5" customFormat="1" ht="15">
      <c r="A29" s="18" t="s">
        <v>12</v>
      </c>
      <c r="B29" s="19">
        <f>+B20+B21+B24+B28</f>
        <v>66.80</v>
      </c>
      <c r="C29" s="19">
        <f>+C20+C21+C24+C28</f>
        <v>68</v>
      </c>
      <c r="D29" s="19">
        <f>+D20+D21+D24+D28</f>
        <v>69.699999999999989</v>
      </c>
      <c r="E29" s="64">
        <f>+E20+E21+E24+E28</f>
        <v>2.9000000000000021</v>
      </c>
      <c r="F29" s="113">
        <f>+Tabulka137[[#Totals],[9/2020]]/Tabulka137[[#Totals],[6/2020]]-1</f>
        <v>0.043413173652694592</v>
      </c>
    </row>
    <row r="30" spans="1:5" s="5" customFormat="1" ht="15">
      <c r="A30" s="1"/>
      <c r="B30" s="1"/>
      <c r="C30" s="1"/>
      <c r="D30" s="1"/>
      <c r="E30" s="1"/>
    </row>
    <row r="31" spans="1:5" s="5" customFormat="1" ht="15">
      <c r="A31" s="1"/>
      <c r="B31" s="1"/>
      <c r="C31" s="1"/>
      <c r="D31" s="1"/>
      <c r="E31" s="1"/>
    </row>
  </sheetData>
  <mergeCells count="1">
    <mergeCell ref="D2:E2"/>
  </mergeCells>
  <conditionalFormatting sqref="F4:F16">
    <cfRule type="cellIs" priority="2" dxfId="28" operator="lessThan">
      <formula>0</formula>
    </cfRule>
  </conditionalFormatting>
  <conditionalFormatting sqref="F20:F29">
    <cfRule type="cellIs" priority="1" dxfId="28" operator="lessThan">
      <formula>0</formula>
    </cfRule>
  </conditionalFormatting>
  <pageMargins left="0.7" right="0.7" top="0.787401575" bottom="0.787401575" header="0.3" footer="0.3"/>
  <pageSetup orientation="portrait" paperSize="9" r:id="rId3"/>
  <tableParts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2020-06-10T14:02:31Z</dcterms:created>
  <cp:category/>
  <cp:contentType/>
  <cp:contentStatus/>
</cp:coreProperties>
</file>