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30" windowWidth="19155" windowHeight="11430" activeTab="1"/>
  </bookViews>
  <sheets>
    <sheet name="ČJ-měsíční" sheetId="1" r:id="rId2"/>
    <sheet name="ČJ-kumulativní" sheetId="2" r:id="rId3"/>
  </sheets>
  <definedNames/>
  <calcPr fullCalcOnLoad="1"/>
</workbook>
</file>

<file path=xl/sharedStrings.xml><?xml version="1.0" encoding="utf-8"?>
<sst xmlns="http://schemas.openxmlformats.org/spreadsheetml/2006/main" count="50" uniqueCount="37">
  <si>
    <t>Subsektor S.1314</t>
  </si>
  <si>
    <t xml:space="preserve">v mil. Kč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</si>
  <si>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</si>
  <si>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</si>
  <si>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</si>
  <si>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</si>
  <si>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</si>
  <si>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</si>
  <si>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</si>
  <si>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</si>
  <si>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</si>
  <si>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</si>
  <si>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</si>
  <si>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</si>
  <si>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I.</t>
  </si>
  <si>
    <t>PŘÍJMY</t>
  </si>
  <si>
    <t>v tom:</t>
  </si>
  <si>
    <t>Příjmy z pojistného vč. příslušenství</t>
  </si>
  <si>
    <t>Platba státu</t>
  </si>
  <si>
    <t>Ostatní příjmy</t>
  </si>
  <si>
    <t>II.</t>
  </si>
  <si>
    <t>VÝDAJE</t>
  </si>
  <si>
    <t>III.</t>
  </si>
  <si>
    <t>SALDO</t>
  </si>
  <si>
    <t>k 31.1.</t>
  </si>
  <si>
    <t>k 28.2.</t>
  </si>
  <si>
    <t>k 30.3.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</si>
  <si>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</si>
  <si>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</si>
  <si>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</si>
  <si>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</si>
  <si>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</si>
  <si>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</si>
  <si>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</si>
  <si>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</si>
  <si>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</si>
  <si>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Zdravotní pojišťovny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</si>
</sst>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0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3" fontId="4" fillId="2" borderId="14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3" fontId="4" fillId="2" borderId="15" xfId="0" applyNumberFormat="1" applyFont="1" applyFill="1" applyBorder="1"/>
    <xf numFmtId="3" fontId="5" fillId="2" borderId="21" xfId="0" applyNumberFormat="1" applyFont="1" applyFill="1" applyBorder="1" applyAlignment="1">
      <alignment horizontal="center"/>
    </xf>
    <xf numFmtId="0" fontId="0" fillId="2" borderId="0" xfId="0" applyFill="1" applyBorder="1"/>
    <xf numFmtId="3" fontId="4" fillId="2" borderId="22" xfId="0" applyNumberFormat="1" applyFont="1" applyFill="1" applyBorder="1"/>
    <xf numFmtId="3" fontId="6" fillId="2" borderId="0" xfId="0" applyNumberFormat="1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3" fontId="4" fillId="2" borderId="0" xfId="0" applyNumberFormat="1" applyFont="1" applyFill="1"/>
    <xf numFmtId="0" fontId="4" fillId="2" borderId="6" xfId="0" applyFont="1" applyFill="1" applyBorder="1" applyAlignment="1">
      <alignment/>
    </xf>
    <xf numFmtId="0" fontId="4" fillId="0" borderId="28" xfId="0" applyFont="1" applyBorder="1" applyAlignment="1">
      <alignment/>
    </xf>
    <xf numFmtId="0" fontId="4" fillId="0" borderId="10" xfId="0" applyFont="1" applyBorder="1" applyAlignment="1">
      <alignment/>
    </xf>
    <xf numFmtId="0" fontId="4" fillId="0" borderId="29" xfId="0" applyFont="1" applyBorder="1" applyAlignment="1">
      <alignment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3" fontId="5" fillId="2" borderId="33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0" fontId="4" fillId="0" borderId="34" xfId="0" applyFont="1" applyBorder="1" applyAlignment="1">
      <alignment/>
    </xf>
    <xf numFmtId="0" fontId="4" fillId="0" borderId="12" xfId="0" applyFont="1" applyBorder="1" applyAlignment="1">
      <alignment/>
    </xf>
    <xf numFmtId="3" fontId="4" fillId="2" borderId="35" xfId="0" applyNumberFormat="1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/>
    </xf>
    <xf numFmtId="3" fontId="5" fillId="2" borderId="37" xfId="0" applyNumberFormat="1" applyFont="1" applyFill="1" applyBorder="1" applyAlignment="1">
      <alignment horizontal="center"/>
    </xf>
    <xf numFmtId="3" fontId="4" fillId="2" borderId="17" xfId="0" applyNumberFormat="1" applyFont="1" applyFill="1" applyBorder="1"/>
    <xf numFmtId="3" fontId="5" fillId="2" borderId="38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2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16"/>
  <sheetViews>
    <sheetView workbookViewId="0" topLeftCell="A1">
      <selection pane="topLeft" activeCell="E23" sqref="E23"/>
    </sheetView>
  </sheetViews>
  <sheetFormatPr defaultRowHeight="12.75"/>
  <cols>
    <col min="1" max="1" width="2.42857142857143" style="1" customWidth="1"/>
    <col min="2" max="2" width="4.85714285714286" style="1" customWidth="1"/>
    <col min="3" max="3" width="28.7142857142857" style="1" customWidth="1"/>
    <col min="4" max="4" width="9.14285714285714" style="1" customWidth="1"/>
    <col min="5" max="16384" width="9.14285714285714" style="1"/>
  </cols>
  <sheetData>
    <row r="2" spans="2:3" ht="12.75">
      <c r="B2" s="2" t="s">
        <v>0</v>
      </c>
      <c r="C2" s="2"/>
    </row>
    <row r="4" spans="2:4" ht="15.75">
      <c r="B4" s="3" t="s">
        <v>36</v>
      </c>
      <c r="C4" s="3"/>
      <c r="D4" s="3"/>
    </row>
    <row r="6" spans="2:3" ht="13.5" thickBot="1">
      <c r="B6" s="4" t="s">
        <v>1</v>
      </c>
      <c r="C6" s="4"/>
    </row>
    <row r="7" spans="2:15" s="4" customFormat="1" ht="12.75">
      <c r="B7" s="42"/>
      <c r="C7" s="52"/>
      <c r="D7" s="48">
        <v>2014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2:15" s="4" customFormat="1" ht="13.5" thickBot="1">
      <c r="B8" s="44"/>
      <c r="C8" s="53"/>
      <c r="D8" s="5" t="s">
        <v>2</v>
      </c>
      <c r="E8" s="6" t="s">
        <v>3</v>
      </c>
      <c r="F8" s="7" t="s">
        <v>4</v>
      </c>
      <c r="G8" s="6" t="s">
        <v>5</v>
      </c>
      <c r="H8" s="7" t="s">
        <v>6</v>
      </c>
      <c r="I8" s="6" t="s">
        <v>7</v>
      </c>
      <c r="J8" s="7" t="s">
        <v>8</v>
      </c>
      <c r="K8" s="7" t="s">
        <v>9</v>
      </c>
      <c r="L8" s="35" t="s">
        <v>10</v>
      </c>
      <c r="M8" s="6" t="s">
        <v>11</v>
      </c>
      <c r="N8" s="7" t="s">
        <v>12</v>
      </c>
      <c r="O8" s="8" t="s">
        <v>13</v>
      </c>
    </row>
    <row r="9" spans="2:15" s="4" customFormat="1" ht="12.75">
      <c r="B9" s="9" t="s">
        <v>14</v>
      </c>
      <c r="C9" s="10" t="s">
        <v>15</v>
      </c>
      <c r="D9" s="27">
        <f>D11+D12+D13</f>
        <v>26843</v>
      </c>
      <c r="E9" s="28">
        <f t="shared" si="0" ref="E9:H9">E11+E12+E13</f>
        <v>17554</v>
      </c>
      <c r="F9" s="28">
        <f t="shared" si="0"/>
        <v>18862</v>
      </c>
      <c r="G9" s="28">
        <f t="shared" si="0"/>
        <v>21333</v>
      </c>
      <c r="H9" s="28">
        <f t="shared" si="0"/>
        <v>18025</v>
      </c>
      <c r="I9" s="28">
        <v>19322</v>
      </c>
      <c r="J9" s="28">
        <f t="shared" si="1" ref="J9:O9">J11+J12+J13</f>
        <v>21775</v>
      </c>
      <c r="K9" s="28">
        <f t="shared" si="1"/>
        <v>18409</v>
      </c>
      <c r="L9" s="28">
        <f t="shared" si="1"/>
        <v>20712</v>
      </c>
      <c r="M9" s="28">
        <f t="shared" si="1"/>
        <v>21436</v>
      </c>
      <c r="N9" s="28">
        <f t="shared" si="1"/>
        <v>17063</v>
      </c>
      <c r="O9" s="54">
        <f t="shared" si="1"/>
        <v>18810</v>
      </c>
    </row>
    <row r="10" spans="2:15" s="4" customFormat="1" ht="12.75">
      <c r="B10" s="11"/>
      <c r="C10" s="12" t="s">
        <v>16</v>
      </c>
      <c r="D10" s="19"/>
      <c r="E10" s="20"/>
      <c r="F10" s="21"/>
      <c r="G10" s="20"/>
      <c r="H10" s="21"/>
      <c r="I10" s="20"/>
      <c r="J10" s="21"/>
      <c r="K10" s="20"/>
      <c r="L10" s="21"/>
      <c r="M10" s="20"/>
      <c r="N10" s="21"/>
      <c r="O10" s="22"/>
    </row>
    <row r="11" spans="2:15" s="4" customFormat="1" ht="12.75">
      <c r="B11" s="11"/>
      <c r="C11" s="12" t="s">
        <v>17</v>
      </c>
      <c r="D11" s="19">
        <v>17084</v>
      </c>
      <c r="E11" s="20">
        <v>12539</v>
      </c>
      <c r="F11" s="21">
        <v>13835</v>
      </c>
      <c r="G11" s="20">
        <v>16269</v>
      </c>
      <c r="H11" s="21">
        <v>13017</v>
      </c>
      <c r="I11" s="20">
        <v>14337</v>
      </c>
      <c r="J11" s="21">
        <v>16110</v>
      </c>
      <c r="K11" s="20">
        <v>13091</v>
      </c>
      <c r="L11" s="21">
        <v>15410</v>
      </c>
      <c r="M11" s="20">
        <v>16151</v>
      </c>
      <c r="N11" s="21">
        <v>12084</v>
      </c>
      <c r="O11" s="22">
        <v>18042</v>
      </c>
    </row>
    <row r="12" spans="2:15" s="4" customFormat="1" ht="12.75">
      <c r="B12" s="11"/>
      <c r="C12" s="12" t="s">
        <v>18</v>
      </c>
      <c r="D12" s="19">
        <v>9567</v>
      </c>
      <c r="E12" s="20">
        <v>4822</v>
      </c>
      <c r="F12" s="21">
        <v>4835</v>
      </c>
      <c r="G12" s="20">
        <v>4872</v>
      </c>
      <c r="H12" s="21">
        <v>4815</v>
      </c>
      <c r="I12" s="20">
        <v>4792</v>
      </c>
      <c r="J12" s="21">
        <v>5473</v>
      </c>
      <c r="K12" s="20">
        <v>5126</v>
      </c>
      <c r="L12" s="21">
        <v>5110</v>
      </c>
      <c r="M12" s="20">
        <v>5092</v>
      </c>
      <c r="N12" s="21">
        <v>4787</v>
      </c>
      <c r="O12" s="22">
        <v>576</v>
      </c>
    </row>
    <row r="13" spans="2:16" s="4" customFormat="1" ht="13.5" thickBot="1">
      <c r="B13" s="14"/>
      <c r="C13" s="15" t="s">
        <v>19</v>
      </c>
      <c r="D13" s="19">
        <v>192</v>
      </c>
      <c r="E13" s="20">
        <v>193</v>
      </c>
      <c r="F13" s="21">
        <v>192</v>
      </c>
      <c r="G13" s="20">
        <v>192</v>
      </c>
      <c r="H13" s="21">
        <v>193</v>
      </c>
      <c r="I13" s="20">
        <v>192</v>
      </c>
      <c r="J13" s="21">
        <v>192</v>
      </c>
      <c r="K13" s="20">
        <v>192</v>
      </c>
      <c r="L13" s="21">
        <v>192</v>
      </c>
      <c r="M13" s="20">
        <v>193</v>
      </c>
      <c r="N13" s="21">
        <v>192</v>
      </c>
      <c r="O13" s="22">
        <v>192</v>
      </c>
      <c r="P13" s="41"/>
    </row>
    <row r="14" spans="2:15" s="4" customFormat="1" ht="13.5" thickBot="1">
      <c r="B14" s="16" t="s">
        <v>20</v>
      </c>
      <c r="C14" s="17" t="s">
        <v>21</v>
      </c>
      <c r="D14" s="31">
        <f>D9-7397</f>
        <v>19446</v>
      </c>
      <c r="E14" s="50">
        <f>E9-4236</f>
        <v>13318</v>
      </c>
      <c r="F14" s="50">
        <f>F9-F15</f>
        <v>22044</v>
      </c>
      <c r="G14" s="50">
        <f>G9-378</f>
        <v>20955</v>
      </c>
      <c r="H14" s="50">
        <f>H9-64</f>
        <v>17961</v>
      </c>
      <c r="I14" s="50">
        <f t="shared" si="2" ref="I14:N14">I9-I15</f>
        <v>18452</v>
      </c>
      <c r="J14" s="50">
        <f t="shared" si="2"/>
        <v>28006</v>
      </c>
      <c r="K14" s="50">
        <f t="shared" si="2"/>
        <v>15313</v>
      </c>
      <c r="L14" s="50">
        <f t="shared" si="2"/>
        <v>20176</v>
      </c>
      <c r="M14" s="50">
        <f t="shared" si="2"/>
        <v>24296</v>
      </c>
      <c r="N14" s="50">
        <f t="shared" si="2"/>
        <v>13615.825000000001</v>
      </c>
      <c r="O14" s="49">
        <f>O9-O15</f>
        <v>24866</v>
      </c>
    </row>
    <row r="15" spans="2:15" s="4" customFormat="1" ht="13.5" thickBot="1">
      <c r="B15" s="16" t="s">
        <v>22</v>
      </c>
      <c r="C15" s="18" t="s">
        <v>23</v>
      </c>
      <c r="D15" s="31">
        <f>D9-D14</f>
        <v>7397</v>
      </c>
      <c r="E15" s="50">
        <f>E9-E14</f>
        <v>4236</v>
      </c>
      <c r="F15" s="23">
        <v>-3182</v>
      </c>
      <c r="G15" s="23">
        <f>G9-G14</f>
        <v>378</v>
      </c>
      <c r="H15" s="23">
        <f>H9-H14</f>
        <v>64</v>
      </c>
      <c r="I15" s="23">
        <v>870</v>
      </c>
      <c r="J15" s="23">
        <v>-6231</v>
      </c>
      <c r="K15" s="23">
        <v>3096</v>
      </c>
      <c r="L15" s="23">
        <v>536</v>
      </c>
      <c r="M15" s="23">
        <v>-2860</v>
      </c>
      <c r="N15" s="23">
        <v>3447.1750000000002</v>
      </c>
      <c r="O15" s="51">
        <v>-6056</v>
      </c>
    </row>
    <row r="16" spans="4:16" s="4" customFormat="1" ht="12.75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="4" customFormat="1" ht="12.75"/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9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P27"/>
  <sheetViews>
    <sheetView tabSelected="1" workbookViewId="0" topLeftCell="A1">
      <selection pane="topLeft" activeCell="H25" sqref="H25"/>
    </sheetView>
  </sheetViews>
  <sheetFormatPr defaultRowHeight="12.75"/>
  <cols>
    <col min="1" max="1" width="2.42857142857143" style="1" customWidth="1"/>
    <col min="2" max="2" width="4.85714285714286" style="1" customWidth="1"/>
    <col min="3" max="3" width="29.5714285714286" style="1" customWidth="1"/>
    <col min="4" max="11" width="9.14285714285714" style="1"/>
    <col min="12" max="12" width="10.7142857142857" style="1" customWidth="1"/>
    <col min="13" max="16384" width="9.14285714285714" style="1"/>
  </cols>
  <sheetData>
    <row r="2" spans="2:3" ht="12.75">
      <c r="B2" s="2" t="s">
        <v>0</v>
      </c>
      <c r="C2" s="2"/>
    </row>
    <row r="4" spans="2:4" ht="15.75">
      <c r="B4" s="3" t="s">
        <v>36</v>
      </c>
      <c r="C4" s="3"/>
      <c r="D4" s="3"/>
    </row>
    <row r="6" spans="2:3" ht="13.5" thickBot="1">
      <c r="B6" s="4" t="s">
        <v>1</v>
      </c>
      <c r="C6" s="4"/>
    </row>
    <row r="7" spans="2:15" s="4" customFormat="1" ht="12.75">
      <c r="B7" s="42"/>
      <c r="C7" s="43"/>
      <c r="D7" s="48">
        <v>2014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2:15" s="4" customFormat="1" ht="13.5" thickBot="1">
      <c r="B8" s="44"/>
      <c r="C8" s="45"/>
      <c r="D8" s="38" t="s">
        <v>24</v>
      </c>
      <c r="E8" s="39" t="s">
        <v>25</v>
      </c>
      <c r="F8" s="36" t="s">
        <v>26</v>
      </c>
      <c r="G8" s="39" t="s">
        <v>27</v>
      </c>
      <c r="H8" s="36" t="s">
        <v>28</v>
      </c>
      <c r="I8" s="39" t="s">
        <v>29</v>
      </c>
      <c r="J8" s="36" t="s">
        <v>30</v>
      </c>
      <c r="K8" s="39" t="s">
        <v>31</v>
      </c>
      <c r="L8" s="36" t="s">
        <v>32</v>
      </c>
      <c r="M8" s="36" t="s">
        <v>33</v>
      </c>
      <c r="N8" s="36" t="s">
        <v>34</v>
      </c>
      <c r="O8" s="40" t="s">
        <v>35</v>
      </c>
    </row>
    <row r="9" spans="2:15" s="4" customFormat="1" ht="12.75">
      <c r="B9" s="9" t="s">
        <v>14</v>
      </c>
      <c r="C9" s="10" t="s">
        <v>15</v>
      </c>
      <c r="D9" s="37">
        <f>D11+D12+D13</f>
        <v>26843</v>
      </c>
      <c r="E9" s="28">
        <f>17554+D9</f>
        <v>44397</v>
      </c>
      <c r="F9" s="21">
        <f>18862+E9</f>
        <v>63259</v>
      </c>
      <c r="G9" s="21">
        <f>21333+F9</f>
        <v>84592</v>
      </c>
      <c r="H9" s="21">
        <f>18025+G9</f>
        <v>102617</v>
      </c>
      <c r="I9" s="21">
        <f>H9+19322</f>
        <v>121939</v>
      </c>
      <c r="J9" s="21">
        <f>I9+21775</f>
        <v>143714</v>
      </c>
      <c r="K9" s="25">
        <f>J9+18409</f>
        <v>162123</v>
      </c>
      <c r="L9" s="25">
        <f>K9+'ČJ-měsíční'!L9</f>
        <v>182835</v>
      </c>
      <c r="M9" s="25">
        <f>L9+'ČJ-měsíční'!M9</f>
        <v>204271</v>
      </c>
      <c r="N9" s="25">
        <f>M9+'ČJ-měsíční'!N9</f>
        <v>221334</v>
      </c>
      <c r="O9" s="58">
        <f>N9+'ČJ-měsíční'!O9</f>
        <v>240144</v>
      </c>
    </row>
    <row r="10" spans="2:15" s="4" customFormat="1" ht="12.75">
      <c r="B10" s="11"/>
      <c r="C10" s="12" t="s">
        <v>16</v>
      </c>
      <c r="D10" s="19"/>
      <c r="E10" s="29"/>
      <c r="F10" s="30"/>
      <c r="G10" s="29"/>
      <c r="H10" s="30"/>
      <c r="I10" s="30"/>
      <c r="J10" s="33"/>
      <c r="K10" s="34"/>
      <c r="L10" s="25"/>
      <c r="M10" s="25"/>
      <c r="N10" s="25"/>
      <c r="O10" s="58"/>
    </row>
    <row r="11" spans="2:15" s="4" customFormat="1" ht="12.75">
      <c r="B11" s="11"/>
      <c r="C11" s="12" t="s">
        <v>17</v>
      </c>
      <c r="D11" s="19">
        <v>17084</v>
      </c>
      <c r="E11" s="20">
        <f>12539+D11</f>
        <v>29623</v>
      </c>
      <c r="F11" s="21">
        <f>13835+E11</f>
        <v>43458</v>
      </c>
      <c r="G11" s="25">
        <f>16269+F11</f>
        <v>59727</v>
      </c>
      <c r="H11" s="25">
        <f>13017+G11</f>
        <v>72744</v>
      </c>
      <c r="I11" s="25">
        <f>14337+H11</f>
        <v>87081</v>
      </c>
      <c r="J11" s="25">
        <f>16110+I11</f>
        <v>103191</v>
      </c>
      <c r="K11" s="25">
        <f>13091+J11</f>
        <v>116282</v>
      </c>
      <c r="L11" s="25">
        <f>K11+'ČJ-měsíční'!L11</f>
        <v>131692</v>
      </c>
      <c r="M11" s="25">
        <f>L11+'ČJ-měsíční'!M11</f>
        <v>147843</v>
      </c>
      <c r="N11" s="25">
        <f>M11+'ČJ-měsíční'!N11</f>
        <v>159927</v>
      </c>
      <c r="O11" s="58">
        <f>N11+'ČJ-měsíční'!O11</f>
        <v>177969</v>
      </c>
    </row>
    <row r="12" spans="2:15" s="4" customFormat="1" ht="12.75">
      <c r="B12" s="11"/>
      <c r="C12" s="12" t="s">
        <v>18</v>
      </c>
      <c r="D12" s="19">
        <v>9567</v>
      </c>
      <c r="E12" s="20">
        <f>4822+D12</f>
        <v>14389</v>
      </c>
      <c r="F12" s="21">
        <f>4835+E12</f>
        <v>19224</v>
      </c>
      <c r="G12" s="25">
        <f>4871+F12</f>
        <v>24095</v>
      </c>
      <c r="H12" s="25">
        <f>4815+G12</f>
        <v>28910</v>
      </c>
      <c r="I12" s="25">
        <f>4792+H12</f>
        <v>33702</v>
      </c>
      <c r="J12" s="25">
        <f>5473+I12</f>
        <v>39175</v>
      </c>
      <c r="K12" s="25">
        <f>5126+J12</f>
        <v>44301</v>
      </c>
      <c r="L12" s="25">
        <f>K12+'ČJ-měsíční'!L12</f>
        <v>49411</v>
      </c>
      <c r="M12" s="25">
        <f>L12+'ČJ-měsíční'!M12</f>
        <v>54503</v>
      </c>
      <c r="N12" s="25">
        <f>M12+'ČJ-měsíční'!N12</f>
        <v>59290</v>
      </c>
      <c r="O12" s="58">
        <f>N12+'ČJ-měsíční'!O12</f>
        <v>59866</v>
      </c>
    </row>
    <row r="13" spans="2:15" s="4" customFormat="1" ht="13.5" thickBot="1">
      <c r="B13" s="14"/>
      <c r="C13" s="15" t="s">
        <v>19</v>
      </c>
      <c r="D13" s="19">
        <v>192</v>
      </c>
      <c r="E13" s="20">
        <f>193+D13</f>
        <v>385</v>
      </c>
      <c r="F13" s="21">
        <f>192+E13</f>
        <v>577</v>
      </c>
      <c r="G13" s="25">
        <f>192+F13</f>
        <v>769</v>
      </c>
      <c r="H13" s="25">
        <f>193+G13</f>
        <v>962</v>
      </c>
      <c r="I13" s="25">
        <f>192+H13</f>
        <v>1154</v>
      </c>
      <c r="J13" s="25">
        <f>192+I13</f>
        <v>1346</v>
      </c>
      <c r="K13" s="25">
        <f>192+J13</f>
        <v>1538</v>
      </c>
      <c r="L13" s="25">
        <f>K13+'ČJ-měsíční'!L13</f>
        <v>1730</v>
      </c>
      <c r="M13" s="25">
        <f>L13+'ČJ-měsíční'!M13</f>
        <v>1923</v>
      </c>
      <c r="N13" s="25">
        <f>M13+'ČJ-měsíční'!N13</f>
        <v>2115</v>
      </c>
      <c r="O13" s="58">
        <f>N13+'ČJ-měsíční'!O13</f>
        <v>2307</v>
      </c>
    </row>
    <row r="14" spans="2:15" s="4" customFormat="1" ht="13.5" thickBot="1">
      <c r="B14" s="16" t="s">
        <v>20</v>
      </c>
      <c r="C14" s="17" t="s">
        <v>21</v>
      </c>
      <c r="D14" s="24">
        <f>D9-7397</f>
        <v>19446</v>
      </c>
      <c r="E14" s="50">
        <f>13318+D14</f>
        <v>32764</v>
      </c>
      <c r="F14" s="50">
        <f>22044+E14</f>
        <v>54808</v>
      </c>
      <c r="G14" s="50">
        <f>20955+F14</f>
        <v>75763</v>
      </c>
      <c r="H14" s="50">
        <f>17961+G14</f>
        <v>93724</v>
      </c>
      <c r="I14" s="57">
        <f>H14+18452</f>
        <v>112176</v>
      </c>
      <c r="J14" s="57">
        <f>I14+28006</f>
        <v>140182</v>
      </c>
      <c r="K14" s="50">
        <f>J14+15313</f>
        <v>155495</v>
      </c>
      <c r="L14" s="50">
        <f>K14+'ČJ-měsíční'!L14</f>
        <v>175671</v>
      </c>
      <c r="M14" s="50">
        <f>L14+'ČJ-měsíční'!M14</f>
        <v>199967</v>
      </c>
      <c r="N14" s="50">
        <f>M14+'ČJ-měsíční'!N14</f>
        <v>213582.82500000001</v>
      </c>
      <c r="O14" s="49">
        <f>N14+'ČJ-měsíční'!O14</f>
        <v>238448.82500000001</v>
      </c>
    </row>
    <row r="15" spans="2:16" s="4" customFormat="1" ht="13.5" thickBot="1">
      <c r="B15" s="16" t="s">
        <v>22</v>
      </c>
      <c r="C15" s="18" t="s">
        <v>23</v>
      </c>
      <c r="D15" s="55">
        <f>D9-D14</f>
        <v>7397</v>
      </c>
      <c r="E15" s="26">
        <f>E9-E14</f>
        <v>11633</v>
      </c>
      <c r="F15" s="26">
        <f t="shared" si="0" ref="F15:K15">F9-F14</f>
        <v>8451</v>
      </c>
      <c r="G15" s="26">
        <f t="shared" si="0"/>
        <v>8829</v>
      </c>
      <c r="H15" s="26">
        <f t="shared" si="0"/>
        <v>8893</v>
      </c>
      <c r="I15" s="26">
        <f t="shared" si="0"/>
        <v>9763</v>
      </c>
      <c r="J15" s="26">
        <f t="shared" si="0"/>
        <v>3532</v>
      </c>
      <c r="K15" s="26">
        <f t="shared" si="0"/>
        <v>6628</v>
      </c>
      <c r="L15" s="26">
        <f>L9-L14</f>
        <v>7164</v>
      </c>
      <c r="M15" s="26">
        <f>M9-M14</f>
        <v>4304</v>
      </c>
      <c r="N15" s="26">
        <f>N9-N14</f>
        <v>7751.1749999999884</v>
      </c>
      <c r="O15" s="56">
        <f>O9-O14</f>
        <v>1695.1749999999884</v>
      </c>
      <c r="P15" s="13"/>
    </row>
    <row r="16" s="4" customFormat="1" ht="12.75"/>
    <row r="17" s="4" customFormat="1" ht="12.75"/>
    <row r="20" ht="12.75">
      <c r="K20" s="32"/>
    </row>
    <row r="23" spans="3:8" s="4" customFormat="1" ht="12.75">
      <c r="C23" s="2"/>
      <c r="E23" s="13"/>
      <c r="F23" s="13"/>
      <c r="G23" s="13"/>
      <c r="H23" s="13"/>
    </row>
    <row r="24" spans="5:8" s="4" customFormat="1" ht="12.75">
      <c r="E24" s="13"/>
      <c r="F24" s="13"/>
      <c r="G24" s="13"/>
      <c r="H24" s="13"/>
    </row>
    <row r="25" spans="3:8" s="4" customFormat="1" ht="15.75">
      <c r="C25" s="3"/>
      <c r="E25" s="13"/>
      <c r="F25" s="13"/>
      <c r="G25" s="13"/>
      <c r="H25" s="13"/>
    </row>
    <row r="26" spans="3:8" s="4" customFormat="1" ht="15.75">
      <c r="C26" s="3"/>
      <c r="E26" s="13"/>
      <c r="F26" s="13"/>
      <c r="G26" s="13"/>
      <c r="H26" s="13"/>
    </row>
    <row r="27" spans="3:8" s="4" customFormat="1" ht="12.75">
      <c r="C27" s="2"/>
      <c r="D27" s="2"/>
      <c r="E27" s="13"/>
      <c r="F27" s="13"/>
      <c r="G27" s="13"/>
      <c r="H27" s="13"/>
    </row>
  </sheetData>
  <mergeCells count="2">
    <mergeCell ref="B7:C8"/>
    <mergeCell ref="D7:O7"/>
  </mergeCells>
  <pageMargins left="0.7" right="0.7" top="0.787401575" bottom="0.787401575" header="0.3" footer="0.3"/>
  <pageSetup fitToHeight="0" orientation="landscape" paperSize="9" scale="8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2014-02-17T14:58:52Z</dcterms:created>
  <cp:category/>
  <cp:contentType/>
  <cp:contentStatus/>
</cp:coreProperties>
</file>